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660" lockStructure="1"/>
  <bookViews>
    <workbookView xWindow="120" yWindow="135" windowWidth="14160" windowHeight="4695" tabRatio="663"/>
  </bookViews>
  <sheets>
    <sheet name="Bang quy doi gio chuan NV2" sheetId="2" r:id="rId1"/>
    <sheet name="Phan 1 - DETAI" sheetId="4" r:id="rId2"/>
    <sheet name="Phan 2 - GIAOTRINH" sheetId="5" r:id="rId3"/>
    <sheet name="Phan 3 - BAIBAO" sheetId="6" r:id="rId4"/>
    <sheet name="Phan 4 - GIAITHUONG" sheetId="7" r:id="rId5"/>
    <sheet name="DATA" sheetId="3" state="hidden" r:id="rId6"/>
  </sheets>
  <definedNames>
    <definedName name="BAIBAO">DATA!$A$72:$A$84</definedName>
    <definedName name="BAIBAO_LOOKUP">DATA!$A$72:$C$84</definedName>
    <definedName name="CHENHLECHNV2">'Bang quy doi gio chuan NV2'!$C$18</definedName>
    <definedName name="CHUCDANH">DATA!$A$19:$A$21</definedName>
    <definedName name="CHUCDANH_INPUT_HK1">'Bang quy doi gio chuan NV2'!$C$8</definedName>
    <definedName name="CHUCDANH_INPUT_HK2">'Bang quy doi gio chuan NV2'!$C$9</definedName>
    <definedName name="CHUCDANH_LOOKUP">DATA!$A$19:$B$21</definedName>
    <definedName name="CHUCVU_INPUT">'Bang quy doi gio chuan NV2'!#REF!</definedName>
    <definedName name="COVID19">DATA!$A$123:$A$124</definedName>
    <definedName name="COVID19_LOOKUP">DATA!$A$123:$B$124</definedName>
    <definedName name="DETAISV">DATA!#REF!</definedName>
    <definedName name="DETAISV_LOOKUP">DATA!#REF!</definedName>
    <definedName name="DINHMUCNV2">'Bang quy doi gio chuan NV2'!$C$10</definedName>
    <definedName name="DINHMUCNV2_HK1">'Bang quy doi gio chuan NV2'!$J$8</definedName>
    <definedName name="DINHMUCNV2_HK2">'Bang quy doi gio chuan NV2'!$J$9</definedName>
    <definedName name="DONVI">DATA!$A$4:$A$16</definedName>
    <definedName name="DONVI_INPUT">'Bang quy doi gio chuan NV2'!$C$7</definedName>
    <definedName name="GIAITHUONG">DATA!$A$96:$A$99</definedName>
    <definedName name="GIAITHUONG_LOOKUP">DATA!$A$96:$F$99</definedName>
    <definedName name="GIAMNV2">'Bang quy doi gio chuan NV2'!$C$14</definedName>
    <definedName name="GIAOTRINH">DATA!$A$60:$A$64</definedName>
    <definedName name="GIAOTRINH_LOOKUP">DATA!$A$60:$F$64</definedName>
    <definedName name="GIOCHUAN_BO">DATA!$B$39</definedName>
    <definedName name="GIOCHUAN_BOTD">'Bang quy doi gio chuan NV2'!#REF!</definedName>
    <definedName name="GIOCHUAN_DHH">DATA!$B$41</definedName>
    <definedName name="GIOCHUAN_DHKH">DATA!$B$42</definedName>
    <definedName name="GIOCHUAN_HTQT">DATA!$B$38</definedName>
    <definedName name="GIOCHUAN_NN">DATA!$B$37</definedName>
    <definedName name="GIOCHUAN_SV">DATA!$B$43</definedName>
    <definedName name="GIOCHUAN_TP">DATA!$B$40</definedName>
    <definedName name="HINHTHUC_CONGTRINH">DATA!$A$114:$A$116</definedName>
    <definedName name="HINHTHUC_CONGTRINH_LOOKUP">DATA!$A$114:$B$116</definedName>
    <definedName name="HINHTHUC_DETAI">DATA!$A$51:$A$53</definedName>
    <definedName name="HINHTHUC_DETAI_2">DATA!$A$56:$A$57</definedName>
    <definedName name="HINHTHUC_DETAI_2_LOOKUP">DATA!$A$56:$B$57</definedName>
    <definedName name="HINHTHUC_DETAI_LOOKUP">DATA!$A$51:$C$53</definedName>
    <definedName name="HINHTHUC_GIAOTRINH">DATA!$A$67:$A$69</definedName>
    <definedName name="HINHTHUC_GIAOTRINH_LOOKUP">DATA!$A$67:$B$69</definedName>
    <definedName name="HINHTHUCTHAMGIA">DATA!$A$87:$A$88</definedName>
    <definedName name="HINHTHUCTHAMGIA_LOOKUP">DATA!$A$87:$B$88</definedName>
    <definedName name="HOPDONG">DATA!$A$46:$A$48</definedName>
    <definedName name="HOPDONG_LOOKUP">DATA!$A$46:$B$48</definedName>
    <definedName name="KETQUA">DATA!$A$102:$A$106</definedName>
    <definedName name="KETQUA_LOOKUP">DATA!$A$102:$B$106</definedName>
    <definedName name="MIENGIAM">DATA!$A$24:$A$30</definedName>
    <definedName name="MIENGIAM_INPUT_I">'Bang quy doi gio chuan NV2'!$C$11</definedName>
    <definedName name="MIENGIAM_INPUT_II">'Bang quy doi gio chuan NV2'!$C$12</definedName>
    <definedName name="MIENGIAM_LOOKUP">DATA!$A$24:$C$30</definedName>
    <definedName name="NAMGV">DATA!#REF!</definedName>
    <definedName name="NAMGV_INPUT">'Bang quy doi gio chuan NV2'!$E$8</definedName>
    <definedName name="NAMGV_LOOKUP">DATA!#REF!</definedName>
    <definedName name="NGHIAVUNV2">'Bang quy doi gio chuan NV2'!$C$15</definedName>
    <definedName name="_xlnm.Print_Area" localSheetId="0">'Bang quy doi gio chuan NV2'!$A$1:$G$28</definedName>
    <definedName name="_xlnm.Print_Area" localSheetId="1">'Phan 1 - DETAI'!$A$1:$I$58</definedName>
    <definedName name="_xlnm.Print_Area" localSheetId="2">'Phan 2 - GIAOTRINH'!$A$1:$I$11</definedName>
    <definedName name="_xlnm.Print_Area" localSheetId="3">'Phan 3 - BAIBAO'!$A$1:$H$29</definedName>
    <definedName name="_xlnm.Print_Area" localSheetId="4">'Phan 4 - GIAITHUONG'!$A$1:$I$24</definedName>
    <definedName name="SANGCHE">DATA!$A$91:$A$93</definedName>
    <definedName name="SANGCHE_LOOKUP">DATA!$A$91:$B$93</definedName>
    <definedName name="SOHOCKY">DATA!$A$33:$A$34</definedName>
    <definedName name="SUM_ALL">'Bang quy doi gio chuan NV2'!$F$25</definedName>
    <definedName name="SUM_BO">'Phan 1 - DETAI'!$I$23</definedName>
    <definedName name="SUM_BOTD">'Bang quy doi gio chuan NV2'!#REF!</definedName>
    <definedName name="SUM_DHH">'Phan 1 - DETAI'!$I$36</definedName>
    <definedName name="SUM_DHKH">'Phan 1 - DETAI'!$I$41</definedName>
    <definedName name="SUM_HOPDONG">'Phan 1 - DETAI'!$I$57</definedName>
    <definedName name="SUM_HTQT">'Phan 1 - DETAI'!$I$13</definedName>
    <definedName name="SUM_I">'Phan 1 - DETAI'!$I$58</definedName>
    <definedName name="SUM_II">'Phan 2 - GIAOTRINH'!$I$11</definedName>
    <definedName name="SUM_III">'Phan 3 - BAIBAO'!$H$29</definedName>
    <definedName name="SUM_IV">'Phan 4 - GIAITHUONG'!$I$24</definedName>
    <definedName name="SUM_NN">'Phan 1 - DETAI'!$I$8</definedName>
    <definedName name="SUM_SEMINAR">'Phan 3 - BAIBAO'!$Q$29</definedName>
    <definedName name="SUM_SV">'Phan 1 - DETAI'!$I$49</definedName>
    <definedName name="SUM_TP">'Phan 1 - DETAI'!$I$29</definedName>
    <definedName name="THUKY">DATA!$A$119:$A$120</definedName>
    <definedName name="THUKY_LOOKUP">DATA!$A$119:$B$120</definedName>
    <definedName name="TONGCONGNV2">'Bang quy doi gio chuan NV2'!$C$16</definedName>
    <definedName name="TRIENLAM">DATA!$A$109:$A$111</definedName>
    <definedName name="TRIENLAM_LOOKUP">DATA!$A$109:$B$111</definedName>
    <definedName name="TRUNV2">'Bang quy doi gio chuan NV2'!$C$17</definedName>
  </definedNames>
  <calcPr calcId="144525"/>
</workbook>
</file>

<file path=xl/calcChain.xml><?xml version="1.0" encoding="utf-8"?>
<calcChain xmlns="http://schemas.openxmlformats.org/spreadsheetml/2006/main">
  <c r="J8" i="2" l="1"/>
  <c r="I9" i="2"/>
  <c r="J9" i="2" s="1"/>
  <c r="I8" i="2"/>
  <c r="C10" i="2" l="1"/>
  <c r="I18" i="2"/>
  <c r="J18" i="2" s="1"/>
  <c r="R17" i="7"/>
  <c r="R18" i="7"/>
  <c r="R19" i="7"/>
  <c r="R20" i="7"/>
  <c r="R21" i="7"/>
  <c r="R22" i="7"/>
  <c r="Q17" i="7"/>
  <c r="Q18" i="7"/>
  <c r="Q19" i="7"/>
  <c r="Q20" i="7"/>
  <c r="Q21" i="7"/>
  <c r="P17" i="7"/>
  <c r="P18" i="7"/>
  <c r="P19" i="7"/>
  <c r="P20" i="7"/>
  <c r="P21" i="7"/>
  <c r="O17" i="7"/>
  <c r="O18" i="7"/>
  <c r="O19" i="7"/>
  <c r="O20" i="7"/>
  <c r="O21" i="7"/>
  <c r="M17" i="7"/>
  <c r="M18" i="7"/>
  <c r="M19" i="7"/>
  <c r="M20" i="7"/>
  <c r="M21" i="7"/>
  <c r="M22" i="7"/>
  <c r="Q22" i="7" s="1"/>
  <c r="L17" i="7"/>
  <c r="L18" i="7"/>
  <c r="L19" i="7"/>
  <c r="L20" i="7"/>
  <c r="L21" i="7"/>
  <c r="L22" i="7"/>
  <c r="L23" i="7"/>
  <c r="K17" i="7"/>
  <c r="K18" i="7"/>
  <c r="K19" i="7"/>
  <c r="K20" i="7"/>
  <c r="K21" i="7"/>
  <c r="K22" i="7"/>
  <c r="K23" i="7"/>
  <c r="J17" i="7"/>
  <c r="J18" i="7"/>
  <c r="J19" i="7"/>
  <c r="J20" i="7"/>
  <c r="J21" i="7"/>
  <c r="J22" i="7"/>
  <c r="J23" i="7"/>
  <c r="L16" i="7"/>
  <c r="K16" i="7"/>
  <c r="J16" i="7"/>
  <c r="R12" i="7"/>
  <c r="R13" i="7"/>
  <c r="R14" i="7"/>
  <c r="L11" i="7"/>
  <c r="L12" i="7"/>
  <c r="L13" i="7"/>
  <c r="L14" i="7"/>
  <c r="K11" i="7"/>
  <c r="K12" i="7"/>
  <c r="K13" i="7"/>
  <c r="K14" i="7"/>
  <c r="J11" i="7"/>
  <c r="J12" i="7"/>
  <c r="J13" i="7"/>
  <c r="J14" i="7"/>
  <c r="L10" i="7"/>
  <c r="K10" i="7"/>
  <c r="J10" i="7"/>
  <c r="R6" i="7"/>
  <c r="R7" i="7"/>
  <c r="L6" i="7"/>
  <c r="L7" i="7"/>
  <c r="K6" i="7"/>
  <c r="M6" i="7" s="1"/>
  <c r="K7" i="7"/>
  <c r="J6" i="7"/>
  <c r="J7" i="7"/>
  <c r="L5" i="7"/>
  <c r="K5" i="7"/>
  <c r="J5" i="7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I5" i="6"/>
  <c r="I6" i="6"/>
  <c r="I7" i="6"/>
  <c r="I8" i="6"/>
  <c r="L8" i="6" s="1"/>
  <c r="I9" i="6"/>
  <c r="L9" i="6" s="1"/>
  <c r="I10" i="6"/>
  <c r="L10" i="6" s="1"/>
  <c r="I11" i="6"/>
  <c r="L11" i="6" s="1"/>
  <c r="I12" i="6"/>
  <c r="L12" i="6" s="1"/>
  <c r="I13" i="6"/>
  <c r="L13" i="6" s="1"/>
  <c r="I14" i="6"/>
  <c r="L14" i="6" s="1"/>
  <c r="I15" i="6"/>
  <c r="L15" i="6" s="1"/>
  <c r="I16" i="6"/>
  <c r="L16" i="6" s="1"/>
  <c r="I17" i="6"/>
  <c r="L17" i="6" s="1"/>
  <c r="I18" i="6"/>
  <c r="L18" i="6" s="1"/>
  <c r="I19" i="6"/>
  <c r="L19" i="6" s="1"/>
  <c r="I20" i="6"/>
  <c r="L20" i="6" s="1"/>
  <c r="I21" i="6"/>
  <c r="L21" i="6" s="1"/>
  <c r="I22" i="6"/>
  <c r="L22" i="6" s="1"/>
  <c r="I23" i="6"/>
  <c r="L23" i="6" s="1"/>
  <c r="I24" i="6"/>
  <c r="L24" i="6" s="1"/>
  <c r="I25" i="6"/>
  <c r="L25" i="6" s="1"/>
  <c r="I26" i="6"/>
  <c r="L26" i="6" s="1"/>
  <c r="I27" i="6"/>
  <c r="L27" i="6" s="1"/>
  <c r="I28" i="6"/>
  <c r="L28" i="6" s="1"/>
  <c r="K4" i="6"/>
  <c r="J4" i="6"/>
  <c r="I4" i="6"/>
  <c r="L5" i="6" l="1"/>
  <c r="O5" i="6" s="1"/>
  <c r="M23" i="7"/>
  <c r="P22" i="7"/>
  <c r="O22" i="7"/>
  <c r="M14" i="7"/>
  <c r="M12" i="7"/>
  <c r="O12" i="7" s="1"/>
  <c r="M13" i="7"/>
  <c r="M7" i="7"/>
  <c r="Q7" i="7" s="1"/>
  <c r="N12" i="7"/>
  <c r="P12" i="7"/>
  <c r="Q12" i="7"/>
  <c r="O7" i="7"/>
  <c r="P7" i="7"/>
  <c r="Q6" i="7"/>
  <c r="O6" i="7"/>
  <c r="P6" i="7"/>
  <c r="Q14" i="7"/>
  <c r="O14" i="7"/>
  <c r="N14" i="7"/>
  <c r="P14" i="7"/>
  <c r="O13" i="7"/>
  <c r="N13" i="7"/>
  <c r="P13" i="7"/>
  <c r="Q13" i="7"/>
  <c r="O14" i="6"/>
  <c r="N14" i="6"/>
  <c r="N20" i="6"/>
  <c r="O20" i="6"/>
  <c r="N8" i="6"/>
  <c r="O8" i="6"/>
  <c r="O22" i="6"/>
  <c r="N22" i="6"/>
  <c r="N28" i="6"/>
  <c r="O28" i="6"/>
  <c r="N24" i="6"/>
  <c r="O24" i="6"/>
  <c r="N16" i="6"/>
  <c r="O16" i="6"/>
  <c r="N12" i="6"/>
  <c r="O12" i="6"/>
  <c r="O27" i="6"/>
  <c r="N27" i="6"/>
  <c r="O23" i="6"/>
  <c r="N23" i="6"/>
  <c r="O19" i="6"/>
  <c r="N19" i="6"/>
  <c r="O15" i="6"/>
  <c r="N15" i="6"/>
  <c r="O11" i="6"/>
  <c r="N11" i="6"/>
  <c r="O26" i="6"/>
  <c r="N26" i="6"/>
  <c r="O18" i="6"/>
  <c r="N18" i="6"/>
  <c r="O10" i="6"/>
  <c r="N10" i="6"/>
  <c r="N25" i="6"/>
  <c r="O25" i="6"/>
  <c r="N21" i="6"/>
  <c r="O21" i="6"/>
  <c r="N17" i="6"/>
  <c r="O17" i="6"/>
  <c r="N13" i="6"/>
  <c r="O13" i="6"/>
  <c r="N9" i="6"/>
  <c r="O9" i="6"/>
  <c r="M11" i="7"/>
  <c r="L6" i="6"/>
  <c r="N6" i="6" s="1"/>
  <c r="L7" i="6"/>
  <c r="O7" i="6" s="1"/>
  <c r="L5" i="5"/>
  <c r="L6" i="5"/>
  <c r="L7" i="5"/>
  <c r="L8" i="5"/>
  <c r="L9" i="5"/>
  <c r="L10" i="5"/>
  <c r="L4" i="5"/>
  <c r="S5" i="5"/>
  <c r="S6" i="5"/>
  <c r="S7" i="5"/>
  <c r="S8" i="5"/>
  <c r="S9" i="5"/>
  <c r="S10" i="5"/>
  <c r="O5" i="5"/>
  <c r="O6" i="5"/>
  <c r="O7" i="5"/>
  <c r="O8" i="5"/>
  <c r="O9" i="5"/>
  <c r="O10" i="5"/>
  <c r="M5" i="5"/>
  <c r="M6" i="5"/>
  <c r="M7" i="5"/>
  <c r="M8" i="5"/>
  <c r="M9" i="5"/>
  <c r="M10" i="5"/>
  <c r="K5" i="5"/>
  <c r="K6" i="5"/>
  <c r="N6" i="5" s="1"/>
  <c r="R6" i="5" s="1"/>
  <c r="I6" i="5" s="1"/>
  <c r="K7" i="5"/>
  <c r="K8" i="5"/>
  <c r="K9" i="5"/>
  <c r="K10" i="5"/>
  <c r="J5" i="5"/>
  <c r="J6" i="5"/>
  <c r="J7" i="5"/>
  <c r="J8" i="5"/>
  <c r="J9" i="5"/>
  <c r="J10" i="5"/>
  <c r="K4" i="5"/>
  <c r="N39" i="4"/>
  <c r="N40" i="4"/>
  <c r="N38" i="4"/>
  <c r="M39" i="4"/>
  <c r="P39" i="4" s="1"/>
  <c r="O39" i="4" s="1"/>
  <c r="I39" i="4" s="1"/>
  <c r="M40" i="4"/>
  <c r="P40" i="4" s="1"/>
  <c r="O40" i="4" s="1"/>
  <c r="I40" i="4" s="1"/>
  <c r="M38" i="4"/>
  <c r="P38" i="4"/>
  <c r="O38" i="4" s="1"/>
  <c r="I38" i="4" s="1"/>
  <c r="K6" i="4"/>
  <c r="K7" i="4"/>
  <c r="K10" i="4"/>
  <c r="K11" i="4"/>
  <c r="L11" i="4" s="1"/>
  <c r="M11" i="4" s="1"/>
  <c r="P11" i="4" s="1"/>
  <c r="O11" i="4" s="1"/>
  <c r="I11" i="4" s="1"/>
  <c r="K12" i="4"/>
  <c r="K15" i="4"/>
  <c r="K16" i="4"/>
  <c r="K17" i="4"/>
  <c r="L17" i="4" s="1"/>
  <c r="M17" i="4" s="1"/>
  <c r="P17" i="4" s="1"/>
  <c r="O17" i="4" s="1"/>
  <c r="I17" i="4" s="1"/>
  <c r="K18" i="4"/>
  <c r="K19" i="4"/>
  <c r="K20" i="4"/>
  <c r="K21" i="4"/>
  <c r="L21" i="4" s="1"/>
  <c r="M21" i="4" s="1"/>
  <c r="P21" i="4" s="1"/>
  <c r="O21" i="4" s="1"/>
  <c r="I21" i="4" s="1"/>
  <c r="K22" i="4"/>
  <c r="K25" i="4"/>
  <c r="K26" i="4"/>
  <c r="K27" i="4"/>
  <c r="K28" i="4"/>
  <c r="K31" i="4"/>
  <c r="K32" i="4"/>
  <c r="K33" i="4"/>
  <c r="K34" i="4"/>
  <c r="K35" i="4"/>
  <c r="J10" i="4"/>
  <c r="N10" i="4"/>
  <c r="J11" i="4"/>
  <c r="N11" i="4" s="1"/>
  <c r="J12" i="4"/>
  <c r="N12" i="4"/>
  <c r="J15" i="4"/>
  <c r="L15" i="4" s="1"/>
  <c r="M15" i="4" s="1"/>
  <c r="P15" i="4" s="1"/>
  <c r="O15" i="4" s="1"/>
  <c r="I15" i="4" s="1"/>
  <c r="J16" i="4"/>
  <c r="N16" i="4"/>
  <c r="J17" i="4"/>
  <c r="N17" i="4" s="1"/>
  <c r="J18" i="4"/>
  <c r="L18" i="4"/>
  <c r="M18" i="4" s="1"/>
  <c r="P18" i="4" s="1"/>
  <c r="O18" i="4" s="1"/>
  <c r="I18" i="4" s="1"/>
  <c r="J19" i="4"/>
  <c r="L19" i="4" s="1"/>
  <c r="M19" i="4" s="1"/>
  <c r="P19" i="4" s="1"/>
  <c r="O19" i="4" s="1"/>
  <c r="I19" i="4" s="1"/>
  <c r="J20" i="4"/>
  <c r="N20" i="4"/>
  <c r="J21" i="4"/>
  <c r="N21" i="4" s="1"/>
  <c r="J22" i="4"/>
  <c r="J25" i="4"/>
  <c r="N25" i="4" s="1"/>
  <c r="J26" i="4"/>
  <c r="N26" i="4" s="1"/>
  <c r="J27" i="4"/>
  <c r="J28" i="4"/>
  <c r="N28" i="4" s="1"/>
  <c r="J31" i="4"/>
  <c r="N31" i="4" s="1"/>
  <c r="J32" i="4"/>
  <c r="L32" i="4" s="1"/>
  <c r="M32" i="4" s="1"/>
  <c r="P32" i="4" s="1"/>
  <c r="O32" i="4" s="1"/>
  <c r="I32" i="4" s="1"/>
  <c r="J33" i="4"/>
  <c r="N33" i="4" s="1"/>
  <c r="J34" i="4"/>
  <c r="L34" i="4" s="1"/>
  <c r="M34" i="4" s="1"/>
  <c r="P34" i="4" s="1"/>
  <c r="O34" i="4" s="1"/>
  <c r="I34" i="4" s="1"/>
  <c r="J35" i="4"/>
  <c r="N35" i="4" s="1"/>
  <c r="K5" i="4"/>
  <c r="J6" i="4"/>
  <c r="L6" i="4" s="1"/>
  <c r="M6" i="4" s="1"/>
  <c r="P6" i="4" s="1"/>
  <c r="O6" i="4" s="1"/>
  <c r="I6" i="4" s="1"/>
  <c r="J7" i="4"/>
  <c r="N7" i="4" s="1"/>
  <c r="J5" i="4"/>
  <c r="N5" i="4" s="1"/>
  <c r="F98" i="3"/>
  <c r="S4" i="5"/>
  <c r="I20" i="7"/>
  <c r="I13" i="7"/>
  <c r="I12" i="2"/>
  <c r="J12" i="2" s="1"/>
  <c r="K12" i="2" s="1"/>
  <c r="I11" i="2"/>
  <c r="J11" i="2" s="1"/>
  <c r="K11" i="2" s="1"/>
  <c r="Q4" i="6"/>
  <c r="Q29" i="6" s="1"/>
  <c r="I18" i="7"/>
  <c r="I7" i="7"/>
  <c r="I6" i="7"/>
  <c r="F97" i="3"/>
  <c r="F96" i="3"/>
  <c r="H16" i="6"/>
  <c r="H28" i="6"/>
  <c r="H8" i="6"/>
  <c r="H11" i="6"/>
  <c r="H12" i="6"/>
  <c r="H15" i="6"/>
  <c r="H18" i="6"/>
  <c r="H19" i="6"/>
  <c r="H21" i="6"/>
  <c r="H26" i="6"/>
  <c r="H27" i="6"/>
  <c r="L4" i="6"/>
  <c r="M4" i="6"/>
  <c r="M45" i="4"/>
  <c r="I45" i="4"/>
  <c r="M46" i="4"/>
  <c r="I46" i="4" s="1"/>
  <c r="M47" i="4"/>
  <c r="I47" i="4"/>
  <c r="M48" i="4"/>
  <c r="I48" i="4" s="1"/>
  <c r="M44" i="4"/>
  <c r="I44" i="4"/>
  <c r="D28" i="2"/>
  <c r="M4" i="5"/>
  <c r="J4" i="5"/>
  <c r="M53" i="4"/>
  <c r="P53" i="4"/>
  <c r="I53" i="4" s="1"/>
  <c r="M54" i="4"/>
  <c r="P54" i="4" s="1"/>
  <c r="I54" i="4" s="1"/>
  <c r="M55" i="4"/>
  <c r="P55" i="4"/>
  <c r="I55" i="4" s="1"/>
  <c r="M56" i="4"/>
  <c r="P56" i="4"/>
  <c r="I56" i="4" s="1"/>
  <c r="M52" i="4"/>
  <c r="P52" i="4" s="1"/>
  <c r="I52" i="4" s="1"/>
  <c r="O4" i="5"/>
  <c r="H10" i="6"/>
  <c r="H14" i="6"/>
  <c r="H9" i="6"/>
  <c r="L22" i="4"/>
  <c r="M22" i="4" s="1"/>
  <c r="P22" i="4" s="1"/>
  <c r="O22" i="4" s="1"/>
  <c r="I22" i="4" s="1"/>
  <c r="H25" i="6"/>
  <c r="H24" i="6"/>
  <c r="H23" i="6"/>
  <c r="H22" i="6"/>
  <c r="N34" i="4"/>
  <c r="L20" i="4"/>
  <c r="M20" i="4" s="1"/>
  <c r="P20" i="4" s="1"/>
  <c r="O20" i="4" s="1"/>
  <c r="I20" i="4" s="1"/>
  <c r="L16" i="4"/>
  <c r="M16" i="4" s="1"/>
  <c r="P16" i="4" s="1"/>
  <c r="O16" i="4" s="1"/>
  <c r="I16" i="4" s="1"/>
  <c r="H17" i="6"/>
  <c r="H13" i="6"/>
  <c r="N19" i="4"/>
  <c r="L10" i="4"/>
  <c r="M10" i="4"/>
  <c r="P10" i="4" s="1"/>
  <c r="O10" i="4" s="1"/>
  <c r="I10" i="4" s="1"/>
  <c r="N15" i="4"/>
  <c r="L26" i="4"/>
  <c r="M26" i="4" s="1"/>
  <c r="P26" i="4" s="1"/>
  <c r="O26" i="4" s="1"/>
  <c r="I26" i="4" s="1"/>
  <c r="L12" i="4"/>
  <c r="M12" i="4" s="1"/>
  <c r="P12" i="4" s="1"/>
  <c r="O12" i="4" s="1"/>
  <c r="I12" i="4" s="1"/>
  <c r="N32" i="4"/>
  <c r="N22" i="4"/>
  <c r="N18" i="4"/>
  <c r="N6" i="4"/>
  <c r="D16" i="2" l="1"/>
  <c r="O6" i="6"/>
  <c r="P6" i="6" s="1"/>
  <c r="H6" i="6" s="1"/>
  <c r="N5" i="6"/>
  <c r="O23" i="7"/>
  <c r="Q23" i="7" s="1"/>
  <c r="I49" i="4"/>
  <c r="I13" i="4"/>
  <c r="L27" i="4"/>
  <c r="M27" i="4" s="1"/>
  <c r="P27" i="4" s="1"/>
  <c r="O27" i="4" s="1"/>
  <c r="I27" i="4" s="1"/>
  <c r="N10" i="5"/>
  <c r="R10" i="5" s="1"/>
  <c r="I10" i="5" s="1"/>
  <c r="N8" i="5"/>
  <c r="P8" i="5" s="1"/>
  <c r="I41" i="4"/>
  <c r="I57" i="4"/>
  <c r="I23" i="4"/>
  <c r="N27" i="4"/>
  <c r="L35" i="4"/>
  <c r="M35" i="4" s="1"/>
  <c r="P35" i="4" s="1"/>
  <c r="O35" i="4" s="1"/>
  <c r="I35" i="4" s="1"/>
  <c r="L5" i="4"/>
  <c r="M5" i="4" s="1"/>
  <c r="P5" i="4" s="1"/>
  <c r="O5" i="4" s="1"/>
  <c r="I5" i="4" s="1"/>
  <c r="L28" i="4"/>
  <c r="M28" i="4" s="1"/>
  <c r="P28" i="4" s="1"/>
  <c r="O28" i="4" s="1"/>
  <c r="I28" i="4" s="1"/>
  <c r="L33" i="4"/>
  <c r="M33" i="4" s="1"/>
  <c r="P33" i="4" s="1"/>
  <c r="O33" i="4" s="1"/>
  <c r="I33" i="4" s="1"/>
  <c r="L7" i="4"/>
  <c r="M7" i="4" s="1"/>
  <c r="P7" i="4" s="1"/>
  <c r="O7" i="4" s="1"/>
  <c r="I7" i="4" s="1"/>
  <c r="L31" i="4"/>
  <c r="M31" i="4" s="1"/>
  <c r="P31" i="4" s="1"/>
  <c r="O31" i="4" s="1"/>
  <c r="I31" i="4" s="1"/>
  <c r="L25" i="4"/>
  <c r="M25" i="4" s="1"/>
  <c r="P25" i="4" s="1"/>
  <c r="O25" i="4" s="1"/>
  <c r="I25" i="4" s="1"/>
  <c r="N7" i="5"/>
  <c r="P7" i="5" s="1"/>
  <c r="N9" i="5"/>
  <c r="Q9" i="5" s="1"/>
  <c r="P6" i="5"/>
  <c r="P5" i="6"/>
  <c r="H5" i="6" s="1"/>
  <c r="O4" i="6"/>
  <c r="N11" i="7"/>
  <c r="O11" i="7" s="1"/>
  <c r="M16" i="7"/>
  <c r="I14" i="7"/>
  <c r="I22" i="7"/>
  <c r="I19" i="7"/>
  <c r="I12" i="7"/>
  <c r="M10" i="7"/>
  <c r="I17" i="7"/>
  <c r="I21" i="7"/>
  <c r="M5" i="7"/>
  <c r="N7" i="6"/>
  <c r="P7" i="6" s="1"/>
  <c r="H7" i="6" s="1"/>
  <c r="N4" i="6"/>
  <c r="H20" i="6"/>
  <c r="R9" i="5"/>
  <c r="I9" i="5" s="1"/>
  <c r="Q8" i="5"/>
  <c r="Q6" i="5"/>
  <c r="R7" i="5"/>
  <c r="I7" i="5" s="1"/>
  <c r="R8" i="5"/>
  <c r="I8" i="5" s="1"/>
  <c r="N5" i="5"/>
  <c r="Q5" i="5" s="1"/>
  <c r="N4" i="5"/>
  <c r="K15" i="2" l="1"/>
  <c r="K16" i="2" s="1"/>
  <c r="P23" i="7"/>
  <c r="R23" i="7" s="1"/>
  <c r="I23" i="7" s="1"/>
  <c r="I29" i="4"/>
  <c r="P9" i="5"/>
  <c r="P10" i="5"/>
  <c r="Q10" i="5"/>
  <c r="P4" i="6"/>
  <c r="H4" i="6" s="1"/>
  <c r="H29" i="6" s="1"/>
  <c r="F23" i="2" s="1"/>
  <c r="Q7" i="5"/>
  <c r="N10" i="7"/>
  <c r="O10" i="7" s="1"/>
  <c r="O5" i="7"/>
  <c r="Q5" i="7" s="1"/>
  <c r="I36" i="4"/>
  <c r="I8" i="4"/>
  <c r="O16" i="7"/>
  <c r="Q16" i="7" s="1"/>
  <c r="Q11" i="7"/>
  <c r="P11" i="7"/>
  <c r="P5" i="5"/>
  <c r="R5" i="5"/>
  <c r="I5" i="5" s="1"/>
  <c r="Q4" i="5"/>
  <c r="P4" i="5"/>
  <c r="R4" i="5" s="1"/>
  <c r="K18" i="2" l="1"/>
  <c r="R11" i="7"/>
  <c r="I11" i="7" s="1"/>
  <c r="P5" i="7"/>
  <c r="I58" i="4"/>
  <c r="F21" i="2" s="1"/>
  <c r="P10" i="7"/>
  <c r="R10" i="7" s="1"/>
  <c r="I10" i="7" s="1"/>
  <c r="Q10" i="7"/>
  <c r="R5" i="7"/>
  <c r="I5" i="7" s="1"/>
  <c r="P16" i="7"/>
  <c r="R16" i="7" s="1"/>
  <c r="I16" i="7" s="1"/>
  <c r="I4" i="5"/>
  <c r="I11" i="5" s="1"/>
  <c r="F22" i="2" s="1"/>
  <c r="K20" i="2" l="1"/>
  <c r="K21" i="2" s="1"/>
  <c r="C14" i="2" s="1"/>
  <c r="C15" i="2" s="1"/>
  <c r="I24" i="7"/>
  <c r="F24" i="2" s="1"/>
  <c r="F25" i="2" l="1"/>
  <c r="C16" i="2" l="1"/>
  <c r="C18" i="2" s="1"/>
  <c r="D18" i="2" s="1"/>
</calcChain>
</file>

<file path=xl/sharedStrings.xml><?xml version="1.0" encoding="utf-8"?>
<sst xmlns="http://schemas.openxmlformats.org/spreadsheetml/2006/main" count="382" uniqueCount="258">
  <si>
    <t>Khoa Toán</t>
  </si>
  <si>
    <t>Khoa Hóa học</t>
  </si>
  <si>
    <t>Khoa Sinh học</t>
  </si>
  <si>
    <t>Khoa Địa lý - Địa chất</t>
  </si>
  <si>
    <t>Khoa Môi trường</t>
  </si>
  <si>
    <t>Khoa Kiến trúc</t>
  </si>
  <si>
    <t>Khoa Ngữ văn</t>
  </si>
  <si>
    <t>Khoa Lịch sử</t>
  </si>
  <si>
    <t>Khoa Lý luận chính trị</t>
  </si>
  <si>
    <t>Khoa Báo chí - Truyền thông</t>
  </si>
  <si>
    <t>Họ và tên:</t>
  </si>
  <si>
    <t>Giảng viên</t>
  </si>
  <si>
    <t>Định mức:</t>
  </si>
  <si>
    <t>Chức danh:</t>
  </si>
  <si>
    <t>Loại nhiệm vụ:</t>
  </si>
  <si>
    <t>Giờ chuẩn:</t>
  </si>
  <si>
    <t>Nhiệm vụ HTQT</t>
  </si>
  <si>
    <t>Cấp ĐHH</t>
  </si>
  <si>
    <t>Cấp trường</t>
  </si>
  <si>
    <t>Thành viên</t>
  </si>
  <si>
    <t>Loại sách, giáo trình:</t>
  </si>
  <si>
    <t>Hình thức
tham gia</t>
  </si>
  <si>
    <t>Tên đề tài</t>
  </si>
  <si>
    <t>SV thực hiện</t>
  </si>
  <si>
    <t>Lớp</t>
  </si>
  <si>
    <t>Hình thức tham gia đề tài:</t>
  </si>
  <si>
    <t>Cấp tạp chí, HN, HT:</t>
  </si>
  <si>
    <t>ĐK nhập</t>
  </si>
  <si>
    <t>ĐK đứng tên đầu</t>
  </si>
  <si>
    <t>ĐK đứng tên sau</t>
  </si>
  <si>
    <t>ĐK chung</t>
  </si>
  <si>
    <t>Giờ chuẩn (tổng)</t>
  </si>
  <si>
    <t>Giờ Final</t>
  </si>
  <si>
    <t>Giờ đăng:</t>
  </si>
  <si>
    <t>Hình thức tham gia biên soạn:</t>
  </si>
  <si>
    <t>Chủ biên</t>
  </si>
  <si>
    <t>Tham gia</t>
  </si>
  <si>
    <t>Hình thức tham gia</t>
  </si>
  <si>
    <t>Hình thức tham gia bài báo:</t>
  </si>
  <si>
    <t>ĐK nhập số TC (nếu tính theo TC)</t>
  </si>
  <si>
    <t>TT</t>
  </si>
  <si>
    <t>Tổng phần 1:</t>
  </si>
  <si>
    <t>Tổng phần 2:</t>
  </si>
  <si>
    <t>Tổng phần 3:</t>
  </si>
  <si>
    <t>Tổng phần 4:</t>
  </si>
  <si>
    <t>Tính theo số tín chỉ (Y/N):</t>
  </si>
  <si>
    <t>Tên sách</t>
  </si>
  <si>
    <t>Loại sách</t>
  </si>
  <si>
    <t>--</t>
  </si>
  <si>
    <t>Năm thực hiện</t>
  </si>
  <si>
    <t>Giờ chuẩn quy đổi</t>
  </si>
  <si>
    <t>Tên công trình</t>
  </si>
  <si>
    <t>Giờ chuẩn Lookup</t>
  </si>
  <si>
    <t>Tên bài báo, báo cáo</t>
  </si>
  <si>
    <t>Cấp tạp chí, hội nghị, hội thảo</t>
  </si>
  <si>
    <t>Thời gian thực hiện (bắt đầu, kết thúc)</t>
  </si>
  <si>
    <t>Tên đề tài, Mã số, CB chủ trì (nếu là tham gia đề tài)</t>
  </si>
  <si>
    <t>Điều kiện nhập</t>
  </si>
  <si>
    <r>
      <t>TRƯ</t>
    </r>
    <r>
      <rPr>
        <b/>
        <u/>
        <sz val="11"/>
        <color indexed="8"/>
        <rFont val="Times New Roman"/>
        <family val="1"/>
      </rPr>
      <t>ỜNG ĐẠI HỌC KHOA</t>
    </r>
    <r>
      <rPr>
        <b/>
        <sz val="11"/>
        <color indexed="8"/>
        <rFont val="Times New Roman"/>
        <family val="1"/>
      </rPr>
      <t xml:space="preserve"> HỌC</t>
    </r>
  </si>
  <si>
    <t xml:space="preserve">             ĐẠI HỌC HUẾ</t>
  </si>
  <si>
    <t>Đơn vị chuyên môn:</t>
  </si>
  <si>
    <t>Định mức giờ chuẩn NCKH:</t>
  </si>
  <si>
    <t>Số giờ chuẩn NCKH được giảm:</t>
  </si>
  <si>
    <t>Số giờ chuẩn NCKH phải thực hiện:</t>
  </si>
  <si>
    <t>Tổng cộng giờ chuẩn NCKH đã thực hiện:</t>
  </si>
  <si>
    <t>Số giờ chuẩn NCKH chênh lệch:</t>
  </si>
  <si>
    <t>Giảng viên chính</t>
  </si>
  <si>
    <t>Chức danh tính miễn giảm:</t>
  </si>
  <si>
    <t>(Không)</t>
  </si>
  <si>
    <t>Phần 1 - Chủ trì hoặc tham gia các chương trình, đề tài, dự án KHCN:</t>
  </si>
  <si>
    <t>Phần 2 - Chủ biên hoặc tham gia biên soạn giáo trình môn học, sách chuyên khảo, sách tham khảo phục vụ giảng dạy, học tập:</t>
  </si>
  <si>
    <t>Kê khai chi tiết các nhiệm vụ NCKH đã thực hiện:</t>
  </si>
  <si>
    <t>Tổng cộng:</t>
  </si>
  <si>
    <r>
      <t xml:space="preserve">Phần 1 - Chủ trì hoặc tham gia các chương trình, đề tài, dự án KHCN (triển khai đúng tiến độ và nghiệm thu đạt yêu cầu) </t>
    </r>
    <r>
      <rPr>
        <i/>
        <sz val="11"/>
        <color indexed="8"/>
        <rFont val="Times New Roman"/>
        <family val="1"/>
      </rPr>
      <t>(gọi chung là đề tài)</t>
    </r>
    <r>
      <rPr>
        <b/>
        <sz val="11"/>
        <color indexed="8"/>
        <rFont val="Times New Roman"/>
        <family val="1"/>
      </rPr>
      <t>:</t>
    </r>
  </si>
  <si>
    <r>
      <t xml:space="preserve">Phần 2 - Chủ biên hoặc tham gia biên soạn giáo trình môn học, sách chuyên khảo, sách tham khảo phục vụ giảng dạy, học tập </t>
    </r>
    <r>
      <rPr>
        <i/>
        <sz val="11"/>
        <color indexed="8"/>
        <rFont val="Times New Roman"/>
        <family val="1"/>
      </rPr>
      <t>(gọi chung là sách)</t>
    </r>
    <r>
      <rPr>
        <b/>
        <sz val="11"/>
        <color indexed="8"/>
        <rFont val="Times New Roman"/>
        <family val="1"/>
      </rPr>
      <t>:</t>
    </r>
  </si>
  <si>
    <r>
      <t xml:space="preserve">Phần 3 - Các công bố khoa học trên các tạp chí khoa học trong và ngoài nước, hội thảo khoa học trong và ngoài nước (có minh chứng) </t>
    </r>
    <r>
      <rPr>
        <i/>
        <sz val="11"/>
        <color indexed="8"/>
        <rFont val="Times New Roman"/>
        <family val="1"/>
      </rPr>
      <t>(gọi chung là bài báo)</t>
    </r>
    <r>
      <rPr>
        <b/>
        <sz val="11"/>
        <color indexed="8"/>
        <rFont val="Times New Roman"/>
        <family val="1"/>
      </rPr>
      <t>:</t>
    </r>
  </si>
  <si>
    <r>
      <t xml:space="preserve">Phần 4 - Các giải thưởng khoa học và kỹ thuật, các công trình tham gia các cuộc thi sáng tạo khoa học và triển lãm KHCN, … </t>
    </r>
    <r>
      <rPr>
        <i/>
        <sz val="11"/>
        <color indexed="8"/>
        <rFont val="Times New Roman"/>
        <family val="1"/>
      </rPr>
      <t>(gọi chung là công trình)</t>
    </r>
    <r>
      <rPr>
        <b/>
        <sz val="11"/>
        <color indexed="8"/>
        <rFont val="Times New Roman"/>
        <family val="1"/>
      </rPr>
      <t>:</t>
    </r>
  </si>
  <si>
    <t>Cấp Nhà nước, NĐT</t>
  </si>
  <si>
    <t>Cấp Bộ, Tỉnh, Nafosted</t>
  </si>
  <si>
    <t>1.1 - Đề tài độc lập cấp Nhà nước, dự án SXTN cấp Nhà nước, nhiệm vụ hợp tác quốc tế về KHCN theo Nghị định thư</t>
  </si>
  <si>
    <t>1.2 - Đề tài, dự án KHCN hợp tác quốc tế</t>
  </si>
  <si>
    <t>1.3 - Đề tài KHCN cấp Bộ/Tỉnh, dự án SXTN cấp Bộ/Tỉnh, đề tài thuộc Quỹ Nafosted</t>
  </si>
  <si>
    <t>Thư ký (hoặc phó chủ nhiệm)</t>
  </si>
  <si>
    <t>Chủ nhiệm</t>
  </si>
  <si>
    <t>Đơn vị, địa phương đầu tư kinh phí</t>
  </si>
  <si>
    <t>Quy mô kinh phí</t>
  </si>
  <si>
    <t>Tên hợp đồng, công việc thực hiện</t>
  </si>
  <si>
    <t>Đồng tác giả</t>
  </si>
  <si>
    <t>(lookup xác định là chủ biên, đồng tác giả hay tham gia để chọn cách chia giờ chuẩn)</t>
  </si>
  <si>
    <t>Kỷ yếu hội thảo khoa học cấp tỉnh, viện, trường đại học</t>
  </si>
  <si>
    <t>Ghi chú:</t>
  </si>
  <si>
    <t>Bằng phát minh, sáng chế, SHTT:</t>
  </si>
  <si>
    <t>Tham gia dự thi, giải thưởng KH&amp;KT các cấp:</t>
  </si>
  <si>
    <t>Cấp Tỉnh</t>
  </si>
  <si>
    <t>Cấp khoa, liên khoa</t>
  </si>
  <si>
    <t>Cấp Bộ, cấp Nhà nước</t>
  </si>
  <si>
    <t>Giải Ba</t>
  </si>
  <si>
    <t>Giải Ba:</t>
  </si>
  <si>
    <t>Giải Khuyến khích:</t>
  </si>
  <si>
    <t>Chỉ tham gia</t>
  </si>
  <si>
    <t>Chỉ tham gia:</t>
  </si>
  <si>
    <t>Giải Khuyến khích</t>
  </si>
  <si>
    <t>Cột lookup:</t>
  </si>
  <si>
    <t>Tham gia triển lãm các cấp:</t>
  </si>
  <si>
    <t>Kết quả tham gia dự thi, giải thưởng KH&amp;KT các cấp:</t>
  </si>
  <si>
    <t>-</t>
  </si>
  <si>
    <t>Khi copy nội dung từ nơi khác sang, phải click đúp vào ô (cell) cần dán rồi mới dán nội dung, không được dán trực tiếp lên cell để tránh trường hợp bị khóa (lock cell).</t>
  </si>
  <si>
    <t>Phần 3 - Các công bố khoa học trên các tạp chí khoa học trong và ngoài nước, hội thảo khoa học trong và ngoài nước:</t>
  </si>
  <si>
    <t>Phần 4 - Các giải thưởng khoa học và kỹ thuật, các công trình tham gia các cuộc thi sáng tạo khoa học và triển lãm KHCN:</t>
  </si>
  <si>
    <t>(xác định cột trả về khi VLOOKUP trong bảng giờ chuẩn ở trên)</t>
  </si>
  <si>
    <t>Hình thức (phát minh, sáng chế, …), cấp (giải thưởng, triển lãm)</t>
  </si>
  <si>
    <t>4.2. Công trình tham gia dự thi, giải thưởng KH&amp;KT các cấp</t>
  </si>
  <si>
    <t>4.3. Công trình tham gia triển lãm các cấp</t>
  </si>
  <si>
    <t>Cột lookup</t>
  </si>
  <si>
    <t>Hình thức tham gia công trình:</t>
  </si>
  <si>
    <t>Giá trị lookup:</t>
  </si>
  <si>
    <t>(lookup xác định là chủ trì, đồng tác giả hay tham gia để chọn cách chia giờ chuẩn)</t>
  </si>
  <si>
    <t>Triển lãm cấp trường, cấp khoa, liên khoa</t>
  </si>
  <si>
    <t>Chi tiết (tên giải thưởng, triển lãm, nơi tổ chức, thời gian tham gia, thời điểm công nhận, …)</t>
  </si>
  <si>
    <t>Kết quả (giải thưởng)</t>
  </si>
  <si>
    <t>ĐK nhập số TV (tham gia)</t>
  </si>
  <si>
    <t>Xác nhận của Phòng KHCN-HTQT</t>
  </si>
  <si>
    <t>Người khai</t>
  </si>
  <si>
    <t>Thời điểm nghiệm thu, xuất bản, nhà xuất bản, nơi xuất bản</t>
  </si>
  <si>
    <t>Chia giờ (Y/N):</t>
  </si>
  <si>
    <t>(xác định có cần chia giờ chuẩn hay không,</t>
  </si>
  <si>
    <t>vì nếu là bài viết trong tuyển tập thì không chia)</t>
  </si>
  <si>
    <t>Giờ chuẩn/1 sách (hoặc bài viết):</t>
  </si>
  <si>
    <t>Tên tạp chí và mã số ISSN;
Tên hội nghị, hội thảo và mã số ISBN;
Thời gian (tổ chức, xuất bản, seminar, ...)</t>
  </si>
  <si>
    <t>Giảng viên cao cấp</t>
  </si>
  <si>
    <t>Giảng viên tập sự</t>
  </si>
  <si>
    <t>CB có thời gian trong ngạch giảng viên dưới 5 năm</t>
  </si>
  <si>
    <t>GV kiêm nhiệm công tác quản lý (cấp trường, phòng chức năng)</t>
  </si>
  <si>
    <t>Tính 100% cho toàn năm học</t>
  </si>
  <si>
    <t>Số học kỳ miễn giảm:</t>
  </si>
  <si>
    <t>% được giảm / 1 học kỳ:</t>
  </si>
  <si>
    <t>Số học kỳ được tính</t>
  </si>
  <si>
    <t>Cấp thành phố, huyện</t>
  </si>
  <si>
    <t>Giờ chuẩn / 1 học kỳ:</t>
  </si>
  <si>
    <t>Tính theo học kỳ:</t>
  </si>
  <si>
    <t>Cố vấn đề tài SV NCKH</t>
  </si>
  <si>
    <t>1.4 - Đề tài KHCN cấp thành phố, huyện</t>
  </si>
  <si>
    <t>1.6 - Đề tài KHCN cấp cơ sở Trường ĐHKH</t>
  </si>
  <si>
    <t>1.7 - Cố vấn khoa học cho đề tài NCKH Sinh viên</t>
  </si>
  <si>
    <t>Kỷ yếu hội thảo khoa học cấp khoa, liên khoa</t>
  </si>
  <si>
    <t>Giờ chuẩn (LOOKUP)</t>
  </si>
  <si>
    <t>(lookup xác định là đứng tên đầu hay sau để chọn cách chia giờ chuẩn)</t>
  </si>
  <si>
    <t>Sản phẩm NCKH được thương mại hóa hoặc thực tiễn chấp thuận rộng rãi (có bản quyền)</t>
  </si>
  <si>
    <t>Công trình, sản phẩm được cấp bằng phát minh, sáng chế cấp Nhà nước hoặc quốc tế</t>
  </si>
  <si>
    <t>Công trình, sản phẩm được cấp quyền Sở hữu trí tuệ</t>
  </si>
  <si>
    <t>Giải Nhất:</t>
  </si>
  <si>
    <t>Giải Nhì:</t>
  </si>
  <si>
    <t>Giải Nhất</t>
  </si>
  <si>
    <t>Giải Nhì</t>
  </si>
  <si>
    <t>Triển lãm cấp Nhà nước, cấp bộ, cấp vùng</t>
  </si>
  <si>
    <t>Triển lãm cấp tỉnh, cấp ĐH Huế</t>
  </si>
  <si>
    <t>4.1. Công trình được thương mại hóa, cấp bằng phát minh, sáng chế, sở hữu trí tuệ</t>
  </si>
  <si>
    <t>Giờ đứng đầu</t>
  </si>
  <si>
    <t>Giờ tham gia</t>
  </si>
  <si>
    <t>Seminar</t>
  </si>
  <si>
    <t>Seminar:</t>
  </si>
  <si>
    <t>(dùng để đếm số seminar đã kê khai)</t>
  </si>
  <si>
    <t>Loại hình</t>
  </si>
  <si>
    <t>1.5 - Đề tài KHCN cấp Đại học Huế</t>
  </si>
  <si>
    <r>
      <t>Các đơn vị phải tập hợp bảng quy đổi giờ chuẩn NV2 này của tất cả các cán bộ thuộc đơn vị mình và nộp về Phòng KHCN-HTQT để Phòng có cơ sở đối chiếu và xác nhận trong bảng tổng hợp của đơn vị (</t>
    </r>
    <r>
      <rPr>
        <b/>
        <sz val="11"/>
        <color indexed="8"/>
        <rFont val="Times New Roman"/>
        <family val="1"/>
      </rPr>
      <t>nộp file, bản in chỉ cần in trang đầu tiên có chữ ký</t>
    </r>
    <r>
      <rPr>
        <sz val="11"/>
        <color indexed="8"/>
        <rFont val="Times New Roman"/>
        <family val="1"/>
      </rPr>
      <t>).</t>
    </r>
  </si>
  <si>
    <t>GV nữ nghỉ sinh (từ tháng thứ 1 đến tháng thứ 6)</t>
  </si>
  <si>
    <t>GV nữ đang nuôi con nhỏ (từ tháng thứ 7 đến tháng thứ 12)</t>
  </si>
  <si>
    <t>Phần/bài viết trong tuyển tập, loại hình sách khác</t>
  </si>
  <si>
    <t>Loại hợp đồng:</t>
  </si>
  <si>
    <t>Giờ tối đa</t>
  </si>
  <si>
    <t>Giờ chuẩn/1 tín chỉ hoặc 1 chương:</t>
  </si>
  <si>
    <t>Giờ Final (chưa so với giờ tối đa)</t>
  </si>
  <si>
    <t>Số tín chỉ (nếu là giáo trình), số chương sách</t>
  </si>
  <si>
    <t>1.8 - Chủ nhiệm các hợp đồng KH, ứng dụng khoa học và chuyển giao công nghệ có thông qua Phòng KHCN-HTQT, hợp đồng kinh tế gắn với chuyên môn</t>
  </si>
  <si>
    <t>Báo cáo xêmina khoa học cấp khoa, bộ môn, trung tâm (có tên báo cáo, minh chứng và được trưởng đơn vị ký xác nhận, không quá 02 seminar trong 1 năm học)</t>
  </si>
  <si>
    <t>Tạp chí khoa học chuyên ngành quốc tế thuộc danh mục Scopus và của các nhà xuất bản có uy tín</t>
  </si>
  <si>
    <t>Kỷ yếu hội thảo quốc tế; kỷ yếu hội thảo quốc gia; tạp chí khoa học chuyên ngành có điểm xét học hàm GS, PGS nhỏ hơn 1,0</t>
  </si>
  <si>
    <t>Các tạp chí khoa học có chỉ số ISSN khác</t>
  </si>
  <si>
    <t>Kỷ yếu hội thảo khoa học cấp tỉnh, viện, trường đại học có chỉ số ISBN</t>
  </si>
  <si>
    <t>Kỷ yếu hội thảo khoa học cấp khoa, liên khoa có chỉ số ISBN</t>
  </si>
  <si>
    <t>Kỷ yếu tóm tắt của hội thảo quốc gia, hội thảo quốc tế không có kỷ yếu toàn văn (kèm minh chứng tham dự hội thảo)</t>
  </si>
  <si>
    <t>(theo QĐ số 01/QĐ-ĐHKH ngày 02/01/2020)</t>
  </si>
  <si>
    <t>BẢNG QUY ĐỔI THỜI GIAN THỰC HIỆN NHIỆM VỤ NCKH (NV2) NĂM HỌC 2019-2020</t>
  </si>
  <si>
    <t>Khoa Công nghệ thông tin</t>
  </si>
  <si>
    <t>Khoa Điện, Điện tử và Công nghệ vật liệu</t>
  </si>
  <si>
    <t>Khoa Xã hội học và Công tác xã hội</t>
  </si>
  <si>
    <t>Học cao học tập trung</t>
  </si>
  <si>
    <t>Hợp đồng kinh tế gắn với chuyên môn, có thông qua Trường, kinh phí từ 50 triệu đồng trở lên</t>
  </si>
  <si>
    <t>Hợp đồng khoa học, có thông qua Trường, kinh phí từ 50 triệu đồng trở lên</t>
  </si>
  <si>
    <t>Hợp đồng khoa học, có thông qua Trường, kinh phí dưới 50 triệu đồng</t>
  </si>
  <si>
    <t>Sách chuyên khảo của NXB nước ngoài</t>
  </si>
  <si>
    <t>Sách chuyên khảo đã được xuất bản</t>
  </si>
  <si>
    <t>Giáo trình đã được xuất bản</t>
  </si>
  <si>
    <t>Sách tham khảo đã được xuất bản</t>
  </si>
  <si>
    <t>Kỷ yếu HT quốc tế thuộc danh mục CPCI của Thomson Reuters; tạp chí quốc tế không thuộc các danh mục ISI, Scopus</t>
  </si>
  <si>
    <t>Tạp chí khoa học chuyên ngành quốc tế có uy tín thuộc danh mục ISI</t>
  </si>
  <si>
    <t>Kỷ yếu HT quốc tế xuất bản bằng tiếng Anh; tạp chí khoa học chuyên ngành có điểm xét học hàm GS, PGS tối đa là 1,0</t>
  </si>
  <si>
    <t>Tạp chí KH&amp;CN của Trường ĐHKH</t>
  </si>
  <si>
    <t>Cố vấn đề tài SVNCKH đạt giải thưởng cấp QG</t>
  </si>
  <si>
    <t>Số phần</t>
  </si>
  <si>
    <t>Có</t>
  </si>
  <si>
    <t>Không</t>
  </si>
  <si>
    <t>Giá trị lookup</t>
  </si>
  <si>
    <t>ĐT có thư ký hoặc phó chủ nhiệm hay không</t>
  </si>
  <si>
    <t>Đề tài có thư ký hoặc phó chủ nhiệm hay không</t>
  </si>
  <si>
    <t>Để xác định sai khi chọn hình thức tham gia là thư ký trong lúc ĐT không có thư ký</t>
  </si>
  <si>
    <t>Hình thức là thư ký</t>
  </si>
  <si>
    <t>Điều kiện thư ký ĐÚNG</t>
  </si>
  <si>
    <t>Có chọn hình thức tham gia là thư ký không?</t>
  </si>
  <si>
    <t>ĐT có thư ký không?</t>
  </si>
  <si>
    <t>Giờ chuẩn mỗi phần</t>
  </si>
  <si>
    <t>Hình thức tham gia đề tài (đối với các ĐT không có thư ký):</t>
  </si>
  <si>
    <t>ĐT cấp ĐHH</t>
  </si>
  <si>
    <t>ĐT cấp cơ sở</t>
  </si>
  <si>
    <t>ĐT NCKH Sinh viên</t>
  </si>
  <si>
    <r>
      <t xml:space="preserve">Số thành viên </t>
    </r>
    <r>
      <rPr>
        <b/>
        <sz val="10"/>
        <color rgb="FFC00000"/>
        <rFont val="Times New Roman"/>
        <family val="1"/>
      </rPr>
      <t>(không kể chủ nhiệm, thư ký hoặc phó chủ nhiệm</t>
    </r>
    <r>
      <rPr>
        <b/>
        <sz val="10"/>
        <color indexed="8"/>
        <rFont val="Times New Roman"/>
        <family val="1"/>
      </rPr>
      <t>)</t>
    </r>
  </si>
  <si>
    <r>
      <t xml:space="preserve">Tổng số tác giả chính </t>
    </r>
    <r>
      <rPr>
        <b/>
        <sz val="10"/>
        <color rgb="FFC00000"/>
        <rFont val="Times New Roman"/>
        <family val="1"/>
      </rPr>
      <t>(chủ biên, đồng tác giả)</t>
    </r>
  </si>
  <si>
    <t>ĐK nhập TG chính</t>
  </si>
  <si>
    <t>ĐK nhập (không kể số TC và TG)</t>
  </si>
  <si>
    <t>ĐK nhập thành viên</t>
  </si>
  <si>
    <t>Giờ TG chính</t>
  </si>
  <si>
    <t>Giờ thành viên</t>
  </si>
  <si>
    <r>
      <t xml:space="preserve">Tổng số thành viên khác </t>
    </r>
    <r>
      <rPr>
        <b/>
        <sz val="10"/>
        <color rgb="FFC00000"/>
        <rFont val="Times New Roman"/>
        <family val="1"/>
      </rPr>
      <t>(không kể các TG chính)</t>
    </r>
  </si>
  <si>
    <t>Tác giả chính</t>
  </si>
  <si>
    <t>Tổng số tác giả chính</t>
  </si>
  <si>
    <r>
      <t xml:space="preserve">Tổng số thành viên khác </t>
    </r>
    <r>
      <rPr>
        <b/>
        <sz val="10"/>
        <color rgb="FFC00000"/>
        <rFont val="Times New Roman"/>
        <family val="1"/>
      </rPr>
      <t>(không kể các tác giả chính)</t>
    </r>
  </si>
  <si>
    <t>Giờ final</t>
  </si>
  <si>
    <t>Giờ chuẩn LOOKUP</t>
  </si>
  <si>
    <t>Chú ý: đối với cố vấn đề tài SVNCKH đạt giải thưởng cấp QG, hình thức tham gia chọn "Tác giả chính", nhập 1 tác giả chính và 0 thành viên</t>
  </si>
  <si>
    <t>---</t>
  </si>
  <si>
    <t>Diện miễn giảm do ảnh hưởng của dịch COVID-19:</t>
  </si>
  <si>
    <t>Diện miễn giảm do dịch COVID-19</t>
  </si>
  <si>
    <t>%</t>
  </si>
  <si>
    <t>Tổng giờ giảm:</t>
  </si>
  <si>
    <t>Còn lại:</t>
  </si>
  <si>
    <t>Giờ giảm do COVID-19:</t>
  </si>
  <si>
    <t>Giờ phải thực hiện:</t>
  </si>
  <si>
    <t>% giảm LOOKUP</t>
  </si>
  <si>
    <t>Tổng số giờ đã giảm:</t>
  </si>
  <si>
    <t>% dạng number</t>
  </si>
  <si>
    <t>HK I:</t>
  </si>
  <si>
    <t>HK II:</t>
  </si>
  <si>
    <t>Giảm 30% cho toàn bộ GV thuộc Trường</t>
  </si>
  <si>
    <t>Miễn 100% cho các GV mới công tác tại Trường từ ngày 01/01/2020</t>
  </si>
  <si>
    <t>Số giờ giảm</t>
  </si>
  <si>
    <r>
      <t xml:space="preserve">Số giờ chuẩn bị trừ </t>
    </r>
    <r>
      <rPr>
        <i/>
        <sz val="11"/>
        <color theme="1"/>
        <rFont val="Times New Roman"/>
        <family val="1"/>
      </rPr>
      <t>(do quá hạn đề tài, …)</t>
    </r>
    <r>
      <rPr>
        <sz val="11"/>
        <color theme="1"/>
        <rFont val="Times New Roman"/>
        <family val="1"/>
      </rPr>
      <t>:</t>
    </r>
  </si>
  <si>
    <t>Định mức number</t>
  </si>
  <si>
    <t>Định mức LOOKUP</t>
  </si>
  <si>
    <t>HK 2:</t>
  </si>
  <si>
    <t>HK 1:</t>
  </si>
  <si>
    <r>
      <rPr>
        <sz val="11"/>
        <color indexed="9"/>
        <rFont val="Times New Roman"/>
        <family val="1"/>
      </rPr>
      <t xml:space="preserve">Diện được tính miễn giảm:                            </t>
    </r>
    <r>
      <rPr>
        <sz val="11"/>
        <color indexed="8"/>
        <rFont val="Times New Roman"/>
        <family val="1"/>
      </rPr>
      <t>Học kỳ 2:</t>
    </r>
  </si>
  <si>
    <t>Chức danh:                                                  Học kỳ 1:</t>
  </si>
  <si>
    <t>Diện được tính miễn giảm:                            Học kỳ 1:</t>
  </si>
  <si>
    <r>
      <rPr>
        <sz val="11"/>
        <color theme="0"/>
        <rFont val="Times New Roman"/>
        <family val="1"/>
      </rPr>
      <t xml:space="preserve">Chức danh:                                                  </t>
    </r>
    <r>
      <rPr>
        <sz val="11"/>
        <color theme="1"/>
        <rFont val="Times New Roman"/>
        <family val="1"/>
      </rPr>
      <t>Học kỳ 2:</t>
    </r>
  </si>
  <si>
    <t>version: 2020.06</t>
  </si>
  <si>
    <t>CHÚ Ý: TẤT CẢ ĐỀU TÍNH THEO TỪNG HK CHỨ KHÔNG PHẢI THEO NĂM !!!!</t>
  </si>
  <si>
    <t>Giờ chuẩn</t>
  </si>
  <si>
    <t>Miễn giảm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</si>
</sst>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9900"/>
      <name val="Times New Roman"/>
      <family val="1"/>
    </font>
    <font>
      <b/>
      <sz val="11"/>
      <color rgb="FF0000FF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C00000"/>
      <name val="Times New Roman"/>
      <family val="1"/>
    </font>
    <font>
      <sz val="11"/>
      <color rgb="FF0070C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FF0000"/>
      <name val="Times New Roman"/>
      <family val="1"/>
    </font>
    <font>
      <b/>
      <i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C00000"/>
      <name val="Times New Roman"/>
      <family val="1"/>
    </font>
    <font>
      <strike/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theme="0" tint="-4.9989318521683403E-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6">
    <xf numFmtId="0" fontId="0" fillId="0" borderId="0" xfId="0"/>
    <xf numFmtId="0" fontId="12" fillId="2" borderId="0" xfId="0" applyFont="1" applyFill="1" applyAlignment="1" applyProtection="1">
      <alignment vertical="center" wrapText="1"/>
      <protection hidden="1"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 vertical="top" wrapText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2" fillId="3" borderId="0" xfId="0" applyFont="1" applyFill="1"/>
    <xf numFmtId="0" fontId="13" fillId="2" borderId="0" xfId="0" applyFont="1" applyFill="1" applyAlignment="1" applyProtection="1">
      <alignment vertical="center"/>
      <protection hidden="1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right" vertical="center" wrapText="1"/>
      <protection hidden="1"/>
    </xf>
    <xf numFmtId="0" fontId="1" fillId="4" borderId="1" xfId="0" applyFont="1" applyFill="1" applyBorder="1" applyAlignment="1" applyProtection="1">
      <alignment horizontal="right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1" xfId="0" quotePrefix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right" vertical="center" wrapText="1"/>
      <protection hidden="1"/>
    </xf>
    <xf numFmtId="3" fontId="12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Alignment="1"/>
    <xf numFmtId="0" fontId="12" fillId="3" borderId="0" xfId="0" applyFont="1" applyFill="1" applyBorder="1" applyAlignment="1">
      <alignment wrapText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2" fillId="2" borderId="2" xfId="0" applyFont="1" applyFill="1" applyBorder="1" applyAlignment="1" applyProtection="1">
      <alignment vertical="center"/>
      <protection hidden="1"/>
    </xf>
    <xf numFmtId="0" fontId="13" fillId="3" borderId="0" xfId="0" applyFont="1" applyFill="1" applyBorder="1" applyAlignment="1">
      <alignment vertical="top" wrapText="1"/>
    </xf>
    <xf numFmtId="9" fontId="12" fillId="3" borderId="0" xfId="0" applyNumberFormat="1" applyFont="1" applyFill="1" applyBorder="1" applyAlignment="1">
      <alignment vertical="top" wrapText="1"/>
    </xf>
    <xf numFmtId="0" fontId="16" fillId="3" borderId="0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wrapText="1"/>
    </xf>
    <xf numFmtId="0" fontId="0" fillId="3" borderId="0" xfId="0" applyFill="1"/>
    <xf numFmtId="0" fontId="12" fillId="5" borderId="1" xfId="0" applyFont="1" applyFill="1" applyBorder="1" applyAlignment="1" applyProtection="1">
      <alignment vertical="center"/>
      <protection hidden="1"/>
    </xf>
    <xf numFmtId="0" fontId="19" fillId="5" borderId="1" xfId="0" applyFont="1" applyFill="1" applyBorder="1" applyAlignment="1" applyProtection="1">
      <alignment vertical="center"/>
      <protection hidden="1"/>
    </xf>
    <xf numFmtId="0" fontId="20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Border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0" fillId="5" borderId="0" xfId="0" applyFill="1"/>
    <xf numFmtId="0" fontId="12" fillId="5" borderId="0" xfId="0" applyFont="1" applyFill="1" applyAlignment="1" applyProtection="1">
      <alignment vertical="center"/>
      <protection hidden="1"/>
    </xf>
    <xf numFmtId="0" fontId="18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vertical="center"/>
      <protection hidden="1"/>
    </xf>
    <xf numFmtId="0" fontId="12" fillId="5" borderId="0" xfId="0" applyFont="1" applyFill="1"/>
    <xf numFmtId="0" fontId="19" fillId="5" borderId="1" xfId="0" applyFont="1" applyFill="1" applyBorder="1" applyAlignment="1" applyProtection="1">
      <alignment vertical="center" wrapText="1"/>
      <protection hidden="1"/>
    </xf>
    <xf numFmtId="0" fontId="12" fillId="5" borderId="3" xfId="0" applyFont="1" applyFill="1" applyBorder="1" applyAlignment="1"/>
    <xf numFmtId="0" fontId="12" fillId="5" borderId="1" xfId="0" applyFont="1" applyFill="1" applyBorder="1" applyAlignment="1" applyProtection="1">
      <alignment horizontal="right" vertical="center" wrapText="1"/>
      <protection hidden="1"/>
    </xf>
    <xf numFmtId="0" fontId="12" fillId="5" borderId="0" xfId="0" applyFont="1" applyFill="1" applyBorder="1" applyAlignment="1" applyProtection="1">
      <alignment vertical="center" wrapText="1"/>
      <protection hidden="1"/>
    </xf>
    <xf numFmtId="0" fontId="13" fillId="5" borderId="0" xfId="0" applyFont="1" applyFill="1" applyBorder="1" applyAlignment="1" applyProtection="1">
      <alignment vertical="center" wrapText="1"/>
      <protection hidden="1"/>
    </xf>
    <xf numFmtId="0" fontId="5" fillId="4" borderId="1" xfId="0" applyFont="1" applyFill="1" applyBorder="1" applyAlignment="1" applyProtection="1">
      <alignment horizontal="right" vertical="center" wrapText="1"/>
      <protection hidden="1"/>
    </xf>
    <xf numFmtId="0" fontId="22" fillId="4" borderId="1" xfId="0" applyFont="1" applyFill="1" applyBorder="1" applyAlignment="1" applyProtection="1">
      <alignment horizontal="right" vertical="center" wrapText="1"/>
      <protection hidden="1"/>
    </xf>
    <xf numFmtId="0" fontId="23" fillId="4" borderId="1" xfId="0" applyFont="1" applyFill="1" applyBorder="1" applyAlignment="1" applyProtection="1">
      <alignment horizontal="right" vertical="center" wrapText="1"/>
      <protection hidden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9" fontId="21" fillId="0" borderId="0" xfId="0" applyNumberFormat="1" applyFont="1" applyFill="1" applyBorder="1" applyAlignment="1">
      <alignment wrapText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4" borderId="4" xfId="0" applyFont="1" applyFill="1" applyBorder="1" applyAlignment="1" applyProtection="1">
      <alignment horizontal="right" vertical="center" wrapText="1"/>
      <protection hidden="1"/>
    </xf>
    <xf numFmtId="0" fontId="24" fillId="2" borderId="5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>
      <alignment wrapText="1"/>
    </xf>
    <xf numFmtId="0" fontId="1" fillId="0" borderId="0" xfId="0" applyFont="1"/>
    <xf numFmtId="0" fontId="12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Alignment="1" applyProtection="1">
      <alignment vertical="top" wrapText="1"/>
      <protection hidden="1"/>
    </xf>
    <xf numFmtId="0" fontId="12" fillId="2" borderId="0" xfId="0" applyFont="1" applyFill="1" applyAlignment="1" applyProtection="1">
      <alignment horizontal="right" vertical="top"/>
      <protection hidden="1"/>
    </xf>
    <xf numFmtId="0" fontId="13" fillId="2" borderId="0" xfId="0" applyFont="1" applyFill="1" applyBorder="1" applyAlignment="1" applyProtection="1">
      <alignment vertical="top" wrapText="1"/>
      <protection hidden="1"/>
    </xf>
    <xf numFmtId="0" fontId="12" fillId="5" borderId="0" xfId="0" applyFont="1" applyFill="1" applyAlignment="1" applyProtection="1">
      <alignment horizontal="right" vertical="top"/>
      <protection hidden="1"/>
    </xf>
    <xf numFmtId="0" fontId="12" fillId="3" borderId="0" xfId="0" applyFont="1" applyFill="1" applyAlignment="1">
      <alignment vertical="top"/>
    </xf>
    <xf numFmtId="0" fontId="12" fillId="6" borderId="0" xfId="0" applyFont="1" applyFill="1" applyBorder="1" applyAlignment="1" applyProtection="1">
      <alignment vertical="top" wrapText="1"/>
      <protection hidden="1"/>
    </xf>
    <xf numFmtId="0" fontId="0" fillId="6" borderId="0" xfId="0" applyFill="1" applyBorder="1" applyAlignment="1" applyProtection="1">
      <alignment horizontal="justify" vertical="top" wrapText="1"/>
      <protection hidden="1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center"/>
    </xf>
    <xf numFmtId="0" fontId="19" fillId="5" borderId="1" xfId="0" applyFont="1" applyFill="1" applyBorder="1" applyAlignment="1">
      <alignment vertical="center"/>
    </xf>
    <xf numFmtId="0" fontId="19" fillId="5" borderId="1" xfId="0" applyFont="1" applyFill="1" applyBorder="1" applyAlignment="1" applyProtection="1">
      <alignment vertical="center" wrapText="1"/>
      <protection locked="0"/>
    </xf>
    <xf numFmtId="0" fontId="19" fillId="3" borderId="0" xfId="0" applyFont="1" applyFill="1" applyAlignment="1">
      <alignment vertical="center"/>
    </xf>
    <xf numFmtId="0" fontId="27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29" fillId="5" borderId="0" xfId="0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27" fillId="5" borderId="1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30" fillId="3" borderId="0" xfId="0" applyFont="1" applyFill="1" applyAlignment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6" borderId="0" xfId="0" applyFont="1" applyFill="1" applyAlignment="1" applyProtection="1">
      <alignment horizontal="right" vertical="top" wrapText="1"/>
      <protection hidden="1"/>
    </xf>
    <xf numFmtId="0" fontId="12" fillId="6" borderId="0" xfId="0" applyFont="1" applyFill="1" applyAlignment="1" applyProtection="1">
      <alignment vertical="top"/>
      <protection hidden="1"/>
    </xf>
    <xf numFmtId="0" fontId="12" fillId="2" borderId="0" xfId="0" applyFont="1" applyFill="1" applyProtection="1">
      <protection hidden="1"/>
    </xf>
    <xf numFmtId="0" fontId="12" fillId="2" borderId="3" xfId="0" applyFont="1" applyFill="1" applyBorder="1" applyAlignment="1" applyProtection="1">
      <protection hidden="1"/>
    </xf>
    <xf numFmtId="0" fontId="12" fillId="2" borderId="0" xfId="0" applyFont="1" applyFill="1" applyAlignment="1" applyProtection="1">
      <alignment wrapText="1"/>
      <protection hidden="1"/>
    </xf>
    <xf numFmtId="0" fontId="12" fillId="2" borderId="3" xfId="0" applyFont="1" applyFill="1" applyBorder="1" applyProtection="1">
      <protection hidden="1"/>
    </xf>
    <xf numFmtId="0" fontId="12" fillId="7" borderId="1" xfId="0" quotePrefix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49" fontId="12" fillId="2" borderId="1" xfId="0" applyNumberFormat="1" applyFont="1" applyFill="1" applyBorder="1" applyAlignment="1" applyProtection="1">
      <alignment vertical="center" wrapText="1"/>
      <protection locked="0"/>
    </xf>
    <xf numFmtId="49" fontId="12" fillId="2" borderId="1" xfId="0" quotePrefix="1" applyNumberFormat="1" applyFont="1" applyFill="1" applyBorder="1" applyAlignment="1" applyProtection="1">
      <alignment vertical="center" wrapText="1"/>
      <protection locked="0"/>
    </xf>
    <xf numFmtId="49" fontId="15" fillId="2" borderId="1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>
      <alignment vertical="top" wrapText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9" fontId="1" fillId="0" borderId="0" xfId="0" applyNumberFormat="1" applyFont="1" applyFill="1" applyBorder="1" applyAlignment="1">
      <alignment wrapText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5" fillId="2" borderId="2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49" fontId="12" fillId="2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/>
    <xf numFmtId="0" fontId="1" fillId="3" borderId="1" xfId="0" applyFont="1" applyFill="1" applyBorder="1"/>
    <xf numFmtId="0" fontId="31" fillId="2" borderId="0" xfId="0" applyFont="1" applyFill="1" applyBorder="1" applyAlignment="1" applyProtection="1">
      <alignment vertical="center"/>
      <protection hidden="1"/>
    </xf>
    <xf numFmtId="0" fontId="15" fillId="0" borderId="1" xfId="0" quotePrefix="1" applyFont="1" applyFill="1" applyBorder="1" applyAlignment="1" applyProtection="1">
      <alignment horizontal="left" vertical="center" wrapText="1"/>
      <protection locked="0"/>
    </xf>
    <xf numFmtId="0" fontId="21" fillId="0" borderId="0" xfId="0" applyFont="1"/>
    <xf numFmtId="0" fontId="12" fillId="0" borderId="0" xfId="0" applyFont="1"/>
    <xf numFmtId="0" fontId="13" fillId="9" borderId="1" xfId="0" applyFont="1" applyFill="1" applyBorder="1"/>
    <xf numFmtId="0" fontId="12" fillId="9" borderId="1" xfId="0" applyFont="1" applyFill="1" applyBorder="1"/>
    <xf numFmtId="0" fontId="14" fillId="2" borderId="6" xfId="0" quotePrefix="1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/>
    <xf numFmtId="0" fontId="1" fillId="9" borderId="1" xfId="0" applyFont="1" applyFill="1" applyBorder="1"/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>
      <alignment wrapText="1"/>
    </xf>
    <xf numFmtId="0" fontId="18" fillId="5" borderId="5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34" fillId="3" borderId="1" xfId="0" applyFont="1" applyFill="1" applyBorder="1" applyAlignment="1">
      <alignment vertical="center"/>
    </xf>
    <xf numFmtId="0" fontId="1" fillId="5" borderId="0" xfId="0" applyFont="1" applyFill="1"/>
    <xf numFmtId="0" fontId="1" fillId="5" borderId="0" xfId="0" applyFont="1" applyFill="1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vertical="center"/>
      <protection hidden="1"/>
    </xf>
    <xf numFmtId="0" fontId="9" fillId="5" borderId="5" xfId="0" applyFont="1" applyFill="1" applyBorder="1" applyAlignment="1" applyProtection="1">
      <alignment vertical="center"/>
      <protection hidden="1"/>
    </xf>
    <xf numFmtId="0" fontId="35" fillId="3" borderId="0" xfId="0" applyFont="1" applyFill="1"/>
    <xf numFmtId="0" fontId="24" fillId="2" borderId="7" xfId="0" applyFont="1" applyFill="1" applyBorder="1" applyAlignment="1" applyProtection="1">
      <alignment vertical="center"/>
      <protection hidden="1"/>
    </xf>
    <xf numFmtId="0" fontId="0" fillId="3" borderId="4" xfId="0" applyFill="1" applyBorder="1" applyAlignment="1">
      <alignment vertical="center"/>
    </xf>
    <xf numFmtId="0" fontId="12" fillId="5" borderId="4" xfId="0" applyFont="1" applyFill="1" applyBorder="1" applyAlignment="1" applyProtection="1">
      <alignment vertical="center"/>
      <protection hidden="1"/>
    </xf>
    <xf numFmtId="0" fontId="12" fillId="10" borderId="1" xfId="0" applyFont="1" applyFill="1" applyBorder="1" applyAlignment="1" applyProtection="1">
      <alignment horizontal="right" vertical="center" wrapText="1"/>
      <protection hidden="1"/>
    </xf>
    <xf numFmtId="0" fontId="12" fillId="10" borderId="1" xfId="0" applyFont="1" applyFill="1" applyBorder="1" applyAlignment="1" applyProtection="1">
      <alignment vertical="center" wrapText="1"/>
      <protection hidden="1"/>
    </xf>
    <xf numFmtId="0" fontId="12" fillId="10" borderId="1" xfId="0" applyFont="1" applyFill="1" applyBorder="1" applyAlignment="1" applyProtection="1">
      <alignment wrapText="1"/>
      <protection hidden="1"/>
    </xf>
    <xf numFmtId="0" fontId="0" fillId="10" borderId="1" xfId="0" applyFill="1" applyBorder="1" applyAlignment="1">
      <alignment vertical="center"/>
    </xf>
    <xf numFmtId="0" fontId="1" fillId="10" borderId="1" xfId="0" applyFont="1" applyFill="1" applyBorder="1" applyAlignment="1" applyProtection="1">
      <alignment vertical="center"/>
      <protection hidden="1"/>
    </xf>
    <xf numFmtId="0" fontId="12" fillId="10" borderId="1" xfId="0" applyFont="1" applyFill="1" applyBorder="1" applyAlignment="1" applyProtection="1">
      <alignment vertical="center"/>
      <protection hidden="1"/>
    </xf>
    <xf numFmtId="0" fontId="12" fillId="10" borderId="1" xfId="0" applyFont="1" applyFill="1" applyBorder="1" applyAlignment="1" applyProtection="1">
      <alignment horizontal="center" vertical="center" wrapText="1"/>
      <protection hidden="1"/>
    </xf>
    <xf numFmtId="0" fontId="15" fillId="10" borderId="1" xfId="0" applyFont="1" applyFill="1" applyBorder="1" applyAlignment="1" applyProtection="1">
      <alignment vertical="center" wrapText="1"/>
      <protection locked="0"/>
    </xf>
    <xf numFmtId="0" fontId="12" fillId="11" borderId="6" xfId="0" quotePrefix="1" applyFont="1" applyFill="1" applyBorder="1" applyAlignment="1" applyProtection="1">
      <alignment horizontal="center" vertical="center" wrapText="1"/>
      <protection hidden="1"/>
    </xf>
    <xf numFmtId="0" fontId="12" fillId="11" borderId="1" xfId="0" quotePrefix="1" applyFont="1" applyFill="1" applyBorder="1" applyAlignment="1" applyProtection="1">
      <alignment horizontal="center" vertical="center" wrapText="1"/>
      <protection hidden="1"/>
    </xf>
    <xf numFmtId="0" fontId="27" fillId="5" borderId="1" xfId="0" quotePrefix="1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vertical="center"/>
    </xf>
    <xf numFmtId="0" fontId="12" fillId="8" borderId="1" xfId="0" quotePrefix="1" applyFont="1" applyFill="1" applyBorder="1" applyAlignment="1" applyProtection="1">
      <alignment vertical="center" wrapText="1"/>
      <protection hidden="1"/>
    </xf>
    <xf numFmtId="0" fontId="12" fillId="7" borderId="1" xfId="0" quotePrefix="1" applyFont="1" applyFill="1" applyBorder="1" applyAlignment="1" applyProtection="1">
      <alignment vertical="center" wrapText="1"/>
      <protection hidden="1"/>
    </xf>
    <xf numFmtId="0" fontId="12" fillId="11" borderId="6" xfId="0" quotePrefix="1" applyFont="1" applyFill="1" applyBorder="1" applyAlignment="1" applyProtection="1">
      <alignment vertical="center" wrapText="1"/>
      <protection hidden="1"/>
    </xf>
    <xf numFmtId="0" fontId="39" fillId="3" borderId="0" xfId="0" applyFont="1" applyFill="1" applyBorder="1" applyAlignment="1" applyProtection="1">
      <alignment vertical="center"/>
    </xf>
    <xf numFmtId="0" fontId="41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0" fillId="3" borderId="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21" fillId="2" borderId="1" xfId="0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6" fillId="2" borderId="0" xfId="1" applyFont="1" applyFill="1" applyBorder="1" applyAlignment="1" applyProtection="1">
      <alignment vertical="center"/>
      <protection hidden="1"/>
    </xf>
    <xf numFmtId="0" fontId="36" fillId="0" borderId="0" xfId="1" applyFont="1" applyAlignment="1" applyProtection="1">
      <alignment vertical="center"/>
      <protection hidden="1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21" fillId="6" borderId="0" xfId="0" quotePrefix="1" applyFont="1" applyFill="1" applyAlignment="1" applyProtection="1">
      <alignment horizontal="justify" vertical="top" wrapText="1"/>
      <protection hidden="1"/>
    </xf>
    <xf numFmtId="0" fontId="12" fillId="6" borderId="0" xfId="0" quotePrefix="1" applyFont="1" applyFill="1" applyAlignment="1" applyProtection="1">
      <alignment horizontal="justify" vertical="top" wrapText="1"/>
      <protection hidden="1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4" fillId="6" borderId="0" xfId="0" applyFont="1" applyFill="1" applyBorder="1" applyAlignment="1" applyProtection="1">
      <alignment horizontal="justify" vertical="top" wrapText="1"/>
      <protection hidden="1"/>
    </xf>
    <xf numFmtId="0" fontId="37" fillId="6" borderId="0" xfId="0" applyFont="1" applyFill="1" applyBorder="1" applyAlignment="1" applyProtection="1">
      <alignment horizontal="justify" vertical="top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4" fillId="2" borderId="5" xfId="0" applyFont="1" applyFill="1" applyBorder="1" applyAlignment="1" applyProtection="1">
      <alignment horizontal="left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6" fillId="0" borderId="3" xfId="0" applyFont="1" applyBorder="1" applyAlignment="1" applyProtection="1">
      <alignment horizontal="left" vertical="center"/>
      <protection hidden="1"/>
    </xf>
    <xf numFmtId="0" fontId="32" fillId="0" borderId="2" xfId="0" applyFont="1" applyBorder="1" applyAlignment="1" applyProtection="1">
      <alignment horizontal="left" vertical="center"/>
      <protection hidden="1"/>
    </xf>
    <xf numFmtId="0" fontId="32" fillId="0" borderId="3" xfId="0" applyFont="1" applyBorder="1" applyAlignment="1" applyProtection="1">
      <alignment horizontal="left" vertical="center"/>
      <protection hidden="1"/>
    </xf>
    <xf numFmtId="0" fontId="33" fillId="2" borderId="5" xfId="0" applyFont="1" applyFill="1" applyBorder="1" applyAlignment="1" applyProtection="1">
      <alignment vertical="center"/>
      <protection hidden="1"/>
    </xf>
    <xf numFmtId="0" fontId="33" fillId="2" borderId="2" xfId="0" applyFont="1" applyFill="1" applyBorder="1" applyAlignment="1" applyProtection="1">
      <alignment vertical="center"/>
      <protection hidden="1"/>
    </xf>
    <xf numFmtId="0" fontId="33" fillId="2" borderId="3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right" vertical="center" wrapText="1"/>
      <protection hidden="1"/>
    </xf>
    <xf numFmtId="0" fontId="13" fillId="3" borderId="1" xfId="0" applyFont="1" applyFill="1" applyBorder="1"/>
  </cellXfs>
  <cellStyles count="2">
    <cellStyle name="Hyperlink" xfId="1" builtinId="8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5"/>
  <sheetViews>
    <sheetView tabSelected="1" view="pageBreakPreview" zoomScaleNormal="100" zoomScaleSheetLayoutView="100" workbookViewId="0">
      <selection activeCell="C6" sqref="C6:E6"/>
    </sheetView>
  </sheetViews>
  <sheetFormatPr defaultRowHeight="15" x14ac:dyDescent="0.25"/>
  <cols>
    <col min="1" max="1" width="4" style="2" customWidth="1"/>
    <col min="2" max="2" width="47.85546875" style="2" customWidth="1"/>
    <col min="3" max="3" width="29" style="2" customWidth="1"/>
    <col min="4" max="4" width="19.7109375" style="2" customWidth="1"/>
    <col min="5" max="5" width="15.5703125" style="2" customWidth="1"/>
    <col min="6" max="6" width="12.28515625" style="7" customWidth="1"/>
    <col min="7" max="7" width="5.7109375" style="7" customWidth="1"/>
    <col min="8" max="8" width="22.140625" style="7" hidden="1" customWidth="1"/>
    <col min="9" max="9" width="20.28515625" style="7" hidden="1" customWidth="1"/>
    <col min="10" max="10" width="18" style="7" hidden="1" customWidth="1"/>
    <col min="11" max="11" width="12.42578125" style="7" hidden="1" customWidth="1"/>
    <col min="12" max="12" width="18.140625" style="7" customWidth="1"/>
    <col min="13" max="13" width="13.140625" style="7" customWidth="1"/>
    <col min="14" max="14" width="19" style="7" customWidth="1"/>
    <col min="15" max="16" width="11.28515625" style="7" customWidth="1"/>
    <col min="17" max="17" width="11.140625" style="2" customWidth="1"/>
    <col min="18" max="18" width="54" style="2" bestFit="1" customWidth="1"/>
    <col min="19" max="19" width="20.28515625" style="2" bestFit="1" customWidth="1"/>
    <col min="20" max="20" width="23" style="2" bestFit="1" customWidth="1"/>
    <col min="21" max="21" width="25.85546875" style="2" bestFit="1" customWidth="1"/>
    <col min="22" max="16384" width="9.140625" style="2"/>
  </cols>
  <sheetData>
    <row r="1" spans="1:17" ht="15" customHeight="1" x14ac:dyDescent="0.25">
      <c r="A1" s="18" t="s">
        <v>59</v>
      </c>
      <c r="B1" s="41"/>
      <c r="C1" s="4"/>
      <c r="D1" s="4"/>
      <c r="E1" s="4"/>
      <c r="F1" s="42"/>
      <c r="G1" s="42" t="s">
        <v>254</v>
      </c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5" customHeight="1" x14ac:dyDescent="0.25">
      <c r="A2" s="18" t="s">
        <v>58</v>
      </c>
      <c r="B2" s="4"/>
      <c r="C2" s="4"/>
      <c r="D2" s="4"/>
      <c r="E2" s="4"/>
      <c r="F2" s="4"/>
      <c r="G2" s="42" t="s">
        <v>181</v>
      </c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ht="9.9499999999999993" customHeight="1" x14ac:dyDescent="0.25">
      <c r="A3" s="17"/>
      <c r="B3" s="4"/>
      <c r="C3" s="4"/>
      <c r="D3" s="4"/>
      <c r="E3" s="4"/>
      <c r="F3" s="17"/>
      <c r="G3" s="17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ht="20.100000000000001" customHeight="1" x14ac:dyDescent="0.25">
      <c r="A4" s="164" t="s">
        <v>182</v>
      </c>
      <c r="B4" s="165"/>
      <c r="C4" s="165"/>
      <c r="D4" s="165"/>
      <c r="E4" s="165"/>
      <c r="F4" s="165"/>
      <c r="G4" s="90"/>
      <c r="H4" s="154" t="s">
        <v>255</v>
      </c>
      <c r="I4" s="32"/>
      <c r="J4" s="32"/>
      <c r="K4" s="32"/>
      <c r="L4" s="32"/>
      <c r="M4" s="32"/>
      <c r="N4" s="32"/>
      <c r="O4" s="32"/>
      <c r="P4" s="32"/>
      <c r="Q4" s="32"/>
    </row>
    <row r="5" spans="1:17" ht="9.9499999999999993" customHeight="1" x14ac:dyDescent="0.25">
      <c r="A5" s="4"/>
      <c r="B5" s="4"/>
      <c r="C5" s="4"/>
      <c r="D5" s="4"/>
      <c r="E5" s="4"/>
      <c r="F5" s="17"/>
      <c r="G5" s="17"/>
      <c r="H5" s="30"/>
      <c r="I5" s="30"/>
      <c r="J5" s="30"/>
      <c r="K5" s="30"/>
      <c r="L5" s="30"/>
      <c r="M5" s="30"/>
      <c r="N5" s="30"/>
      <c r="O5" s="30"/>
      <c r="P5" s="30"/>
      <c r="Q5" s="31"/>
    </row>
    <row r="6" spans="1:17" ht="20.100000000000001" customHeight="1" x14ac:dyDescent="0.25">
      <c r="A6" s="4"/>
      <c r="B6" s="4" t="s">
        <v>10</v>
      </c>
      <c r="C6" s="168"/>
      <c r="D6" s="169"/>
      <c r="E6" s="170"/>
      <c r="F6" s="17"/>
      <c r="G6" s="17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20.100000000000001" customHeight="1" x14ac:dyDescent="0.25">
      <c r="A7" s="4"/>
      <c r="B7" s="4" t="s">
        <v>60</v>
      </c>
      <c r="C7" s="168"/>
      <c r="D7" s="176"/>
      <c r="E7" s="177"/>
      <c r="F7" s="17"/>
      <c r="G7" s="17"/>
      <c r="H7" s="195" t="s">
        <v>256</v>
      </c>
      <c r="I7" s="163" t="s">
        <v>247</v>
      </c>
      <c r="J7" s="163" t="s">
        <v>246</v>
      </c>
      <c r="K7" s="30"/>
      <c r="L7" s="30"/>
      <c r="M7" s="30"/>
      <c r="N7" s="30"/>
      <c r="O7" s="30"/>
      <c r="P7" s="30"/>
      <c r="Q7" s="31"/>
    </row>
    <row r="8" spans="1:17" ht="20.100000000000001" customHeight="1" x14ac:dyDescent="0.25">
      <c r="A8" s="4"/>
      <c r="B8" s="4" t="s">
        <v>251</v>
      </c>
      <c r="C8" s="168" t="s">
        <v>11</v>
      </c>
      <c r="D8" s="171"/>
      <c r="E8" s="172"/>
      <c r="F8" s="17"/>
      <c r="G8" s="17"/>
      <c r="H8" s="162" t="s">
        <v>249</v>
      </c>
      <c r="I8" s="162">
        <f>VLOOKUP(CHUCDANH_INPUT_HK1,CHUCDANH_LOOKUP,2,FALSE)</f>
        <v>100</v>
      </c>
      <c r="J8" s="162">
        <f>IF(ISNUMBER(I8),I8/2,0)</f>
        <v>50</v>
      </c>
      <c r="K8" s="30"/>
      <c r="L8" s="30"/>
      <c r="M8" s="30"/>
      <c r="N8" s="30"/>
      <c r="O8" s="30"/>
      <c r="P8" s="30"/>
      <c r="Q8" s="31"/>
    </row>
    <row r="9" spans="1:17" ht="20.100000000000001" customHeight="1" x14ac:dyDescent="0.25">
      <c r="A9" s="4"/>
      <c r="B9" s="4" t="s">
        <v>253</v>
      </c>
      <c r="C9" s="173" t="s">
        <v>11</v>
      </c>
      <c r="D9" s="173"/>
      <c r="E9" s="173"/>
      <c r="F9" s="17"/>
      <c r="G9" s="17"/>
      <c r="H9" s="162" t="s">
        <v>248</v>
      </c>
      <c r="I9" s="162">
        <f>VLOOKUP(CHUCDANH_INPUT_HK2,CHUCDANH_LOOKUP,2,FALSE)</f>
        <v>100</v>
      </c>
      <c r="J9" s="162">
        <f>IF(ISNUMBER(I9),I9/2,0)</f>
        <v>50</v>
      </c>
      <c r="K9" s="30"/>
      <c r="L9" s="30"/>
      <c r="M9" s="30"/>
      <c r="N9" s="30"/>
      <c r="O9" s="30"/>
      <c r="P9" s="30"/>
      <c r="Q9" s="31"/>
    </row>
    <row r="10" spans="1:17" ht="20.100000000000001" customHeight="1" x14ac:dyDescent="0.25">
      <c r="A10" s="4"/>
      <c r="B10" s="17" t="s">
        <v>61</v>
      </c>
      <c r="C10" s="61">
        <f>J8+J9</f>
        <v>100</v>
      </c>
      <c r="D10" s="4"/>
      <c r="E10" s="4"/>
      <c r="F10" s="17"/>
      <c r="G10" s="17"/>
      <c r="H10" s="114" t="s">
        <v>257</v>
      </c>
      <c r="I10" s="155" t="s">
        <v>237</v>
      </c>
      <c r="J10" s="155" t="s">
        <v>239</v>
      </c>
      <c r="K10" s="156" t="s">
        <v>244</v>
      </c>
      <c r="L10" s="30"/>
      <c r="M10" s="30"/>
      <c r="N10" s="30"/>
      <c r="O10" s="30"/>
      <c r="P10" s="30"/>
      <c r="Q10" s="31"/>
    </row>
    <row r="11" spans="1:17" ht="20.100000000000001" customHeight="1" x14ac:dyDescent="0.25">
      <c r="A11" s="4"/>
      <c r="B11" s="17" t="s">
        <v>252</v>
      </c>
      <c r="C11" s="168" t="s">
        <v>68</v>
      </c>
      <c r="D11" s="169"/>
      <c r="E11" s="170"/>
      <c r="F11" s="17"/>
      <c r="G11" s="17"/>
      <c r="H11" s="115" t="s">
        <v>240</v>
      </c>
      <c r="I11" s="157">
        <f>VLOOKUP(MIENGIAM_INPUT_I,MIENGIAM_LOOKUP,2,FALSE)</f>
        <v>0</v>
      </c>
      <c r="J11" s="157">
        <f>IF(ISNUMBER(I11),I11,0)</f>
        <v>0</v>
      </c>
      <c r="K11" s="158">
        <f>DINHMUCNV2_HK1*J11/100</f>
        <v>0</v>
      </c>
      <c r="L11" s="30"/>
      <c r="M11" s="30"/>
      <c r="N11" s="30"/>
      <c r="O11" s="30"/>
      <c r="P11" s="30"/>
      <c r="Q11" s="31"/>
    </row>
    <row r="12" spans="1:17" ht="20.100000000000001" customHeight="1" x14ac:dyDescent="0.25">
      <c r="A12" s="4"/>
      <c r="B12" s="17" t="s">
        <v>250</v>
      </c>
      <c r="C12" s="168" t="s">
        <v>68</v>
      </c>
      <c r="D12" s="169"/>
      <c r="E12" s="170"/>
      <c r="F12" s="17"/>
      <c r="G12" s="17"/>
      <c r="H12" s="115" t="s">
        <v>241</v>
      </c>
      <c r="I12" s="157">
        <f>VLOOKUP(MIENGIAM_INPUT_II,MIENGIAM_LOOKUP,2,FALSE)</f>
        <v>0</v>
      </c>
      <c r="J12" s="157">
        <f>IF(ISNUMBER(I12),I12,0)</f>
        <v>0</v>
      </c>
      <c r="K12" s="158">
        <f>DINHMUCNV2_HK2*J12/100</f>
        <v>0</v>
      </c>
      <c r="L12" s="30"/>
      <c r="M12" s="30"/>
      <c r="N12" s="30"/>
      <c r="O12" s="30"/>
      <c r="P12" s="30"/>
      <c r="Q12" s="31"/>
    </row>
    <row r="13" spans="1:17" ht="20.100000000000001" customHeight="1" x14ac:dyDescent="0.25">
      <c r="A13" s="4"/>
      <c r="B13" s="160" t="s">
        <v>230</v>
      </c>
      <c r="C13" s="183" t="s">
        <v>242</v>
      </c>
      <c r="D13" s="184"/>
      <c r="E13" s="185"/>
      <c r="F13" s="17"/>
      <c r="G13" s="17"/>
      <c r="H13" s="157"/>
      <c r="I13" s="157"/>
      <c r="J13" s="157"/>
      <c r="K13" s="158"/>
      <c r="L13" s="30"/>
      <c r="M13" s="30"/>
      <c r="N13" s="30"/>
      <c r="O13" s="30"/>
      <c r="P13" s="30"/>
      <c r="Q13" s="31"/>
    </row>
    <row r="14" spans="1:17" ht="20.100000000000001" customHeight="1" x14ac:dyDescent="0.25">
      <c r="A14" s="4"/>
      <c r="B14" s="17" t="s">
        <v>62</v>
      </c>
      <c r="C14" s="10">
        <f>K21</f>
        <v>30</v>
      </c>
      <c r="D14" s="60"/>
      <c r="E14" s="4"/>
      <c r="F14" s="17"/>
      <c r="G14" s="17"/>
      <c r="H14" s="159"/>
      <c r="I14" s="159"/>
      <c r="J14" s="159"/>
      <c r="K14" s="159"/>
      <c r="L14" s="33"/>
      <c r="M14" s="33"/>
      <c r="N14" s="30"/>
      <c r="O14" s="30"/>
      <c r="P14" s="30"/>
      <c r="Q14" s="31"/>
    </row>
    <row r="15" spans="1:17" ht="20.100000000000001" customHeight="1" x14ac:dyDescent="0.25">
      <c r="A15" s="4"/>
      <c r="B15" s="17" t="s">
        <v>63</v>
      </c>
      <c r="C15" s="55">
        <f>DINHMUCNV2-GIAMNV2</f>
        <v>70</v>
      </c>
      <c r="D15" s="4"/>
      <c r="E15" s="4"/>
      <c r="F15" s="17"/>
      <c r="G15" s="17"/>
      <c r="H15" s="158" t="s">
        <v>233</v>
      </c>
      <c r="I15" s="158"/>
      <c r="J15" s="159"/>
      <c r="K15" s="158">
        <f>K11+K12</f>
        <v>0</v>
      </c>
      <c r="L15" s="30"/>
      <c r="M15" s="30"/>
      <c r="N15" s="30"/>
      <c r="O15" s="30"/>
      <c r="P15" s="30"/>
      <c r="Q15" s="31"/>
    </row>
    <row r="16" spans="1:17" ht="20.100000000000001" customHeight="1" x14ac:dyDescent="0.25">
      <c r="A16" s="4"/>
      <c r="B16" s="17" t="s">
        <v>64</v>
      </c>
      <c r="C16" s="54">
        <f>IF(SUM_SEMINAR&gt;2,0,SUM_ALL)</f>
        <v>0</v>
      </c>
      <c r="D16" s="116" t="str">
        <f>IF(SUM_SEMINAR&gt;2,"(đã kê khai nhiều hơn 2 seminar!)","")</f>
        <v/>
      </c>
      <c r="E16" s="4"/>
      <c r="F16" s="17"/>
      <c r="G16" s="17"/>
      <c r="H16" s="158" t="s">
        <v>234</v>
      </c>
      <c r="I16" s="158"/>
      <c r="J16" s="159"/>
      <c r="K16" s="158">
        <f>DINHMUCNV2-K15</f>
        <v>100</v>
      </c>
      <c r="L16" s="30"/>
      <c r="M16" s="30"/>
      <c r="N16" s="30"/>
      <c r="O16" s="30"/>
      <c r="P16" s="30"/>
      <c r="Q16" s="31"/>
    </row>
    <row r="17" spans="1:19" ht="20.100000000000001" customHeight="1" x14ac:dyDescent="0.25">
      <c r="A17" s="4"/>
      <c r="B17" s="17" t="s">
        <v>245</v>
      </c>
      <c r="C17" s="161"/>
      <c r="D17" s="116"/>
      <c r="E17" s="4"/>
      <c r="F17" s="17"/>
      <c r="G17" s="17"/>
      <c r="H17" s="158"/>
      <c r="I17" s="158"/>
      <c r="J17" s="159"/>
      <c r="K17" s="158"/>
      <c r="L17" s="30"/>
      <c r="M17" s="30"/>
      <c r="N17" s="30"/>
      <c r="O17" s="30"/>
      <c r="P17" s="30"/>
      <c r="Q17" s="31"/>
    </row>
    <row r="18" spans="1:19" ht="20.100000000000001" customHeight="1" x14ac:dyDescent="0.25">
      <c r="A18" s="4"/>
      <c r="B18" s="17" t="s">
        <v>65</v>
      </c>
      <c r="C18" s="53">
        <f>TONGCONGNV2-NGHIAVUNV2-TRUNV2</f>
        <v>-70</v>
      </c>
      <c r="D18" s="39" t="str">
        <f>IF(CHENHLECHNV2&lt;0,"(giờ thiếu)",IF(CHENHLECHNV2&gt;0,"(giờ thừa)",""))</f>
        <v>(giờ thiếu)</v>
      </c>
      <c r="E18" s="4"/>
      <c r="F18" s="17"/>
      <c r="G18" s="17"/>
      <c r="H18" s="158" t="s">
        <v>235</v>
      </c>
      <c r="I18" s="158">
        <f>VLOOKUP(C13,COVID19_LOOKUP,2,FALSE)</f>
        <v>30</v>
      </c>
      <c r="J18" s="158">
        <f>IF(ISNUMBER(I18),I18,0)</f>
        <v>30</v>
      </c>
      <c r="K18" s="115">
        <f>K16*J18/100</f>
        <v>30</v>
      </c>
      <c r="L18" s="30"/>
      <c r="M18" s="30"/>
      <c r="N18" s="30"/>
      <c r="O18" s="30"/>
      <c r="P18" s="30"/>
      <c r="Q18" s="31"/>
    </row>
    <row r="19" spans="1:19" ht="20.100000000000001" customHeight="1" x14ac:dyDescent="0.25">
      <c r="A19" s="4"/>
      <c r="B19" s="17"/>
      <c r="C19" s="4"/>
      <c r="D19" s="39"/>
      <c r="E19" s="4"/>
      <c r="F19" s="17"/>
      <c r="G19" s="17"/>
      <c r="H19" s="159"/>
      <c r="I19" s="159"/>
      <c r="J19" s="159"/>
      <c r="K19" s="159"/>
      <c r="L19" s="30"/>
      <c r="M19" s="30"/>
      <c r="N19" s="30"/>
      <c r="O19" s="30"/>
      <c r="P19" s="30"/>
      <c r="Q19" s="31"/>
    </row>
    <row r="20" spans="1:19" ht="20.25" customHeight="1" x14ac:dyDescent="0.25">
      <c r="A20" s="4"/>
      <c r="B20" s="5" t="s">
        <v>71</v>
      </c>
      <c r="C20" s="4"/>
      <c r="D20" s="4"/>
      <c r="E20" s="4"/>
      <c r="F20" s="17"/>
      <c r="G20" s="17"/>
      <c r="H20" s="158" t="s">
        <v>236</v>
      </c>
      <c r="I20" s="158"/>
      <c r="J20" s="159"/>
      <c r="K20" s="158">
        <f>K16-K18</f>
        <v>70</v>
      </c>
      <c r="L20" s="30"/>
      <c r="M20" s="30"/>
      <c r="N20" s="30"/>
      <c r="O20" s="30"/>
      <c r="P20" s="30"/>
      <c r="Q20" s="31"/>
    </row>
    <row r="21" spans="1:19" ht="20.100000000000001" customHeight="1" x14ac:dyDescent="0.25">
      <c r="A21" s="4"/>
      <c r="B21" s="166" t="s">
        <v>69</v>
      </c>
      <c r="C21" s="167"/>
      <c r="D21" s="167"/>
      <c r="E21" s="167"/>
      <c r="F21" s="17">
        <f>SUM_I</f>
        <v>0</v>
      </c>
      <c r="G21" s="17"/>
      <c r="H21" s="158" t="s">
        <v>238</v>
      </c>
      <c r="I21" s="158"/>
      <c r="J21" s="159"/>
      <c r="K21" s="158">
        <f>DINHMUCNV2-K20</f>
        <v>30</v>
      </c>
      <c r="L21" s="30"/>
      <c r="M21" s="30"/>
      <c r="N21" s="30"/>
      <c r="O21" s="30"/>
      <c r="P21" s="30"/>
      <c r="Q21" s="31"/>
    </row>
    <row r="22" spans="1:19" ht="20.100000000000001" customHeight="1" x14ac:dyDescent="0.25">
      <c r="A22" s="4"/>
      <c r="B22" s="166" t="s">
        <v>70</v>
      </c>
      <c r="C22" s="167"/>
      <c r="D22" s="167"/>
      <c r="E22" s="167"/>
      <c r="F22" s="17">
        <f>SUM_II</f>
        <v>0</v>
      </c>
      <c r="G22" s="17"/>
      <c r="K22" s="30"/>
      <c r="L22" s="30"/>
      <c r="M22" s="30"/>
      <c r="N22" s="30"/>
      <c r="O22" s="30"/>
      <c r="P22" s="30"/>
      <c r="Q22" s="31"/>
    </row>
    <row r="23" spans="1:19" ht="20.100000000000001" customHeight="1" x14ac:dyDescent="0.25">
      <c r="A23" s="4"/>
      <c r="B23" s="166" t="s">
        <v>107</v>
      </c>
      <c r="C23" s="167"/>
      <c r="D23" s="167"/>
      <c r="E23" s="167"/>
      <c r="F23" s="17">
        <f>SUM_III</f>
        <v>0</v>
      </c>
      <c r="G23" s="17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9" ht="20.100000000000001" customHeight="1" x14ac:dyDescent="0.25">
      <c r="A24" s="17"/>
      <c r="B24" s="166" t="s">
        <v>108</v>
      </c>
      <c r="C24" s="167"/>
      <c r="D24" s="167"/>
      <c r="E24" s="167"/>
      <c r="F24" s="17">
        <f>SUM_IV</f>
        <v>0</v>
      </c>
      <c r="G24" s="17"/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3"/>
      <c r="S24" s="3"/>
    </row>
    <row r="25" spans="1:19" ht="30" hidden="1" customHeight="1" x14ac:dyDescent="0.25">
      <c r="A25" s="4"/>
      <c r="B25" s="4"/>
      <c r="C25" s="40"/>
      <c r="D25" s="5"/>
      <c r="E25" s="15" t="s">
        <v>72</v>
      </c>
      <c r="F25" s="5">
        <f>ROUND(SUM_I+SUM_II+SUM_III+SUM_IV,1)</f>
        <v>0</v>
      </c>
      <c r="G25" s="5"/>
      <c r="H25" s="30"/>
      <c r="I25" s="30"/>
      <c r="J25" s="30"/>
      <c r="K25" s="30"/>
      <c r="L25" s="30"/>
      <c r="M25" s="30"/>
      <c r="N25" s="30"/>
      <c r="O25" s="30"/>
      <c r="P25" s="30"/>
      <c r="Q25" s="34"/>
      <c r="R25" s="3"/>
      <c r="S25" s="3"/>
    </row>
    <row r="26" spans="1:19" ht="27.75" customHeight="1" x14ac:dyDescent="0.25">
      <c r="A26" s="100"/>
      <c r="B26" s="107" t="s">
        <v>121</v>
      </c>
      <c r="C26" s="101"/>
      <c r="D26" s="180" t="s">
        <v>122</v>
      </c>
      <c r="E26" s="181"/>
      <c r="F26" s="181"/>
      <c r="G26" s="5"/>
      <c r="H26" s="30"/>
      <c r="I26" s="30"/>
      <c r="J26" s="30"/>
      <c r="K26" s="30"/>
      <c r="L26" s="30"/>
      <c r="M26" s="30"/>
      <c r="N26" s="30"/>
      <c r="O26" s="30"/>
      <c r="P26" s="30"/>
      <c r="Q26" s="34"/>
      <c r="R26" s="3"/>
      <c r="S26" s="3"/>
    </row>
    <row r="27" spans="1:19" ht="51" customHeight="1" x14ac:dyDescent="0.25">
      <c r="A27" s="105"/>
      <c r="B27" s="105"/>
      <c r="C27" s="101"/>
      <c r="D27" s="105"/>
      <c r="E27" s="101"/>
      <c r="F27" s="101"/>
      <c r="G27" s="5"/>
      <c r="H27" s="30"/>
      <c r="I27" s="30"/>
      <c r="J27" s="30"/>
      <c r="K27" s="30"/>
      <c r="L27" s="30"/>
      <c r="M27" s="30"/>
      <c r="N27" s="30"/>
      <c r="O27" s="30"/>
      <c r="P27" s="30"/>
      <c r="Q27" s="34"/>
      <c r="R27" s="3"/>
      <c r="S27" s="3"/>
    </row>
    <row r="28" spans="1:19" ht="19.5" customHeight="1" x14ac:dyDescent="0.25">
      <c r="A28" s="100"/>
      <c r="B28" s="100"/>
      <c r="C28" s="101"/>
      <c r="D28" s="182" t="str">
        <f>CONCATENATE(C6,"")</f>
        <v/>
      </c>
      <c r="E28" s="182"/>
      <c r="F28" s="182"/>
      <c r="G28" s="5"/>
      <c r="H28" s="30"/>
      <c r="I28" s="30"/>
      <c r="J28" s="30"/>
      <c r="K28" s="30"/>
      <c r="L28" s="30"/>
      <c r="M28" s="30"/>
      <c r="N28" s="30"/>
      <c r="O28" s="30"/>
      <c r="P28" s="30"/>
      <c r="Q28" s="34"/>
      <c r="R28" s="3"/>
      <c r="S28" s="3"/>
    </row>
    <row r="29" spans="1:19" x14ac:dyDescent="0.25">
      <c r="A29" s="71"/>
      <c r="B29" s="178" t="s">
        <v>90</v>
      </c>
      <c r="C29" s="179"/>
      <c r="D29" s="179"/>
      <c r="E29" s="179"/>
      <c r="F29" s="179"/>
      <c r="G29" s="7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"/>
      <c r="S29" s="3"/>
    </row>
    <row r="30" spans="1:19" ht="30" customHeight="1" x14ac:dyDescent="0.25">
      <c r="A30" s="91" t="s">
        <v>105</v>
      </c>
      <c r="B30" s="174" t="s">
        <v>106</v>
      </c>
      <c r="C30" s="174"/>
      <c r="D30" s="174"/>
      <c r="E30" s="174"/>
      <c r="F30" s="174"/>
      <c r="G30" s="92"/>
      <c r="Q30" s="3"/>
      <c r="R30" s="3"/>
      <c r="S30" s="3"/>
    </row>
    <row r="31" spans="1:19" ht="30" customHeight="1" x14ac:dyDescent="0.25">
      <c r="A31" s="91" t="s">
        <v>105</v>
      </c>
      <c r="B31" s="175" t="s">
        <v>164</v>
      </c>
      <c r="C31" s="175"/>
      <c r="D31" s="175"/>
      <c r="E31" s="175"/>
      <c r="F31" s="175"/>
      <c r="G31" s="92"/>
      <c r="Q31" s="3"/>
    </row>
    <row r="32" spans="1:19" ht="18" customHeight="1" x14ac:dyDescent="0.25">
      <c r="A32" s="91"/>
      <c r="B32" s="175"/>
      <c r="C32" s="175"/>
      <c r="D32" s="175"/>
      <c r="E32" s="175"/>
      <c r="F32" s="175"/>
      <c r="G32" s="92"/>
      <c r="Q32" s="3"/>
    </row>
    <row r="33" spans="1:19" x14ac:dyDescent="0.25">
      <c r="A33" s="3"/>
      <c r="B33" s="3"/>
      <c r="C33" s="3"/>
      <c r="D33" s="3"/>
      <c r="E33" s="3"/>
      <c r="Q33" s="3"/>
    </row>
    <row r="34" spans="1:19" x14ac:dyDescent="0.25">
      <c r="A34" s="3"/>
      <c r="B34" s="3"/>
      <c r="C34" s="3"/>
      <c r="D34" s="3"/>
      <c r="E34" s="3"/>
      <c r="Q34" s="3"/>
      <c r="R34" s="19"/>
      <c r="S34" s="20"/>
    </row>
    <row r="35" spans="1:19" x14ac:dyDescent="0.25">
      <c r="A35" s="3"/>
      <c r="B35" s="3"/>
      <c r="C35" s="3"/>
      <c r="D35" s="3"/>
      <c r="E35" s="3"/>
      <c r="Q35" s="3"/>
      <c r="R35" s="22"/>
      <c r="S35" s="27"/>
    </row>
    <row r="36" spans="1:19" x14ac:dyDescent="0.25">
      <c r="A36" s="3"/>
      <c r="B36" s="3"/>
      <c r="C36" s="3"/>
      <c r="D36" s="3"/>
      <c r="E36" s="3"/>
      <c r="Q36" s="3"/>
      <c r="R36" s="22"/>
      <c r="S36" s="22"/>
    </row>
    <row r="37" spans="1:19" x14ac:dyDescent="0.25">
      <c r="A37" s="3"/>
      <c r="B37" s="3"/>
      <c r="C37" s="3"/>
      <c r="D37" s="3"/>
      <c r="E37" s="3"/>
      <c r="Q37" s="3"/>
      <c r="R37" s="22"/>
      <c r="S37" s="22"/>
    </row>
    <row r="38" spans="1:19" x14ac:dyDescent="0.25">
      <c r="A38" s="3"/>
      <c r="B38" s="3"/>
      <c r="C38" s="3"/>
      <c r="D38" s="3"/>
      <c r="E38" s="3"/>
      <c r="Q38" s="3"/>
      <c r="R38" s="22"/>
      <c r="S38" s="22"/>
    </row>
    <row r="39" spans="1:19" x14ac:dyDescent="0.25">
      <c r="A39" s="3"/>
      <c r="B39" s="3"/>
      <c r="C39" s="3"/>
      <c r="D39" s="3"/>
      <c r="E39" s="3"/>
      <c r="Q39" s="3"/>
      <c r="R39" s="22"/>
      <c r="S39" s="22"/>
    </row>
    <row r="40" spans="1:19" x14ac:dyDescent="0.25">
      <c r="A40" s="3"/>
      <c r="B40" s="3"/>
      <c r="C40" s="3"/>
      <c r="D40" s="3"/>
      <c r="E40" s="3"/>
      <c r="Q40" s="3"/>
      <c r="R40" s="22"/>
      <c r="S40" s="22"/>
    </row>
    <row r="41" spans="1:19" x14ac:dyDescent="0.25">
      <c r="A41" s="3"/>
      <c r="B41" s="3"/>
      <c r="C41" s="3"/>
      <c r="D41" s="3"/>
      <c r="E41" s="3"/>
      <c r="Q41" s="3"/>
      <c r="R41" s="22"/>
      <c r="S41" s="22"/>
    </row>
    <row r="42" spans="1:19" x14ac:dyDescent="0.25">
      <c r="A42" s="3"/>
      <c r="B42" s="3"/>
      <c r="C42" s="3"/>
      <c r="D42" s="3"/>
      <c r="E42" s="3"/>
      <c r="Q42" s="3"/>
      <c r="R42" s="22"/>
      <c r="S42" s="22"/>
    </row>
    <row r="43" spans="1:19" x14ac:dyDescent="0.25">
      <c r="A43" s="3"/>
      <c r="B43" s="3"/>
      <c r="C43" s="3"/>
      <c r="D43" s="3"/>
      <c r="E43" s="3"/>
      <c r="Q43" s="3"/>
      <c r="R43" s="22"/>
      <c r="S43" s="22"/>
    </row>
    <row r="44" spans="1:19" x14ac:dyDescent="0.25">
      <c r="A44" s="3"/>
      <c r="B44" s="3"/>
      <c r="C44" s="3"/>
      <c r="D44" s="3"/>
      <c r="E44" s="3"/>
      <c r="Q44" s="3"/>
      <c r="R44" s="22"/>
      <c r="S44" s="20"/>
    </row>
    <row r="45" spans="1:19" x14ac:dyDescent="0.25">
      <c r="A45" s="3"/>
      <c r="B45" s="3"/>
      <c r="C45" s="3"/>
      <c r="D45" s="3"/>
      <c r="E45" s="3"/>
      <c r="Q45" s="3"/>
      <c r="R45" s="22"/>
      <c r="S45" s="20"/>
    </row>
    <row r="46" spans="1:19" x14ac:dyDescent="0.25">
      <c r="A46" s="3"/>
      <c r="B46" s="3"/>
      <c r="C46" s="3"/>
      <c r="D46" s="3"/>
      <c r="E46" s="3"/>
      <c r="Q46" s="3"/>
      <c r="R46" s="22"/>
      <c r="S46" s="20"/>
    </row>
    <row r="47" spans="1:19" x14ac:dyDescent="0.25">
      <c r="A47" s="3"/>
      <c r="B47" s="3"/>
      <c r="C47" s="3"/>
      <c r="D47" s="3"/>
      <c r="E47" s="3"/>
      <c r="Q47" s="3"/>
      <c r="R47" s="22"/>
      <c r="S47" s="20"/>
    </row>
    <row r="48" spans="1:19" x14ac:dyDescent="0.25">
      <c r="A48" s="3"/>
      <c r="B48" s="3"/>
      <c r="C48" s="3"/>
      <c r="D48" s="3"/>
      <c r="E48" s="3"/>
      <c r="Q48" s="3"/>
      <c r="R48" s="22"/>
      <c r="S48" s="20"/>
    </row>
    <row r="49" spans="1:19" x14ac:dyDescent="0.25">
      <c r="A49" s="3"/>
      <c r="B49" s="3"/>
      <c r="C49" s="3"/>
      <c r="D49" s="3"/>
      <c r="E49" s="3"/>
      <c r="Q49" s="3"/>
      <c r="R49" s="22"/>
      <c r="S49" s="20"/>
    </row>
    <row r="50" spans="1:19" x14ac:dyDescent="0.25">
      <c r="A50" s="3"/>
      <c r="B50" s="3"/>
      <c r="C50" s="3"/>
      <c r="D50" s="3"/>
      <c r="E50" s="3"/>
      <c r="Q50" s="3"/>
      <c r="R50" s="22"/>
      <c r="S50" s="28"/>
    </row>
    <row r="51" spans="1:19" x14ac:dyDescent="0.25">
      <c r="A51" s="3"/>
      <c r="B51" s="3"/>
      <c r="C51" s="3"/>
      <c r="D51" s="3"/>
      <c r="E51" s="3"/>
      <c r="Q51" s="3"/>
      <c r="R51" s="22"/>
      <c r="S51" s="28"/>
    </row>
    <row r="52" spans="1:19" x14ac:dyDescent="0.25">
      <c r="A52" s="3"/>
      <c r="B52" s="3"/>
      <c r="C52" s="3"/>
      <c r="D52" s="3"/>
      <c r="E52" s="3"/>
      <c r="Q52" s="3"/>
      <c r="R52" s="22"/>
      <c r="S52" s="28"/>
    </row>
    <row r="53" spans="1:19" x14ac:dyDescent="0.25">
      <c r="A53" s="3"/>
      <c r="B53" s="3"/>
      <c r="C53" s="3"/>
      <c r="D53" s="3"/>
      <c r="E53" s="3"/>
      <c r="Q53" s="3"/>
      <c r="R53" s="22"/>
      <c r="S53" s="28"/>
    </row>
    <row r="54" spans="1:19" x14ac:dyDescent="0.25">
      <c r="A54" s="3"/>
      <c r="B54" s="3"/>
      <c r="C54" s="3"/>
      <c r="D54" s="3"/>
      <c r="E54" s="3"/>
      <c r="Q54" s="3"/>
      <c r="R54" s="22"/>
      <c r="S54" s="28"/>
    </row>
    <row r="55" spans="1:19" x14ac:dyDescent="0.25">
      <c r="A55" s="3"/>
      <c r="B55" s="3"/>
      <c r="C55" s="3"/>
      <c r="D55" s="3"/>
      <c r="E55" s="3"/>
      <c r="Q55" s="3"/>
      <c r="R55" s="22"/>
      <c r="S55" s="28"/>
    </row>
    <row r="56" spans="1:19" x14ac:dyDescent="0.25">
      <c r="A56" s="3"/>
      <c r="B56" s="3"/>
      <c r="C56" s="3"/>
      <c r="D56" s="3"/>
      <c r="E56" s="3"/>
      <c r="Q56" s="3"/>
      <c r="R56" s="22"/>
      <c r="S56" s="28"/>
    </row>
    <row r="57" spans="1:19" x14ac:dyDescent="0.25">
      <c r="A57" s="3"/>
      <c r="B57" s="3"/>
      <c r="C57" s="3"/>
      <c r="D57" s="3"/>
      <c r="E57" s="3"/>
      <c r="Q57" s="3"/>
      <c r="R57" s="3"/>
      <c r="S57" s="3"/>
    </row>
    <row r="58" spans="1:19" x14ac:dyDescent="0.25">
      <c r="A58" s="3"/>
      <c r="B58" s="3"/>
      <c r="C58" s="3"/>
      <c r="D58" s="3"/>
      <c r="E58" s="3"/>
      <c r="Q58" s="3"/>
    </row>
    <row r="59" spans="1:19" x14ac:dyDescent="0.25">
      <c r="A59" s="3"/>
      <c r="B59" s="3"/>
      <c r="C59" s="3"/>
      <c r="D59" s="3"/>
      <c r="E59" s="3"/>
      <c r="Q59" s="3"/>
    </row>
    <row r="60" spans="1:19" x14ac:dyDescent="0.25">
      <c r="A60" s="3"/>
      <c r="B60" s="3"/>
      <c r="C60" s="3"/>
      <c r="D60" s="3"/>
      <c r="E60" s="3"/>
      <c r="Q60" s="3"/>
    </row>
    <row r="61" spans="1:19" x14ac:dyDescent="0.25">
      <c r="A61" s="3"/>
      <c r="B61" s="3"/>
      <c r="C61" s="3"/>
      <c r="D61" s="3"/>
      <c r="E61" s="3"/>
      <c r="Q61" s="3"/>
    </row>
    <row r="62" spans="1:19" x14ac:dyDescent="0.25">
      <c r="A62" s="3"/>
      <c r="B62" s="3"/>
      <c r="C62" s="3"/>
      <c r="D62" s="3"/>
      <c r="E62" s="3"/>
      <c r="Q62" s="3"/>
    </row>
    <row r="63" spans="1:19" x14ac:dyDescent="0.25">
      <c r="A63" s="3"/>
      <c r="B63" s="3"/>
      <c r="C63" s="3"/>
      <c r="D63" s="3"/>
      <c r="E63" s="3"/>
      <c r="Q63" s="3"/>
    </row>
    <row r="64" spans="1:19" x14ac:dyDescent="0.25">
      <c r="A64" s="3"/>
      <c r="B64" s="3"/>
      <c r="C64" s="3"/>
      <c r="D64" s="3"/>
      <c r="E64" s="3"/>
      <c r="Q64" s="3"/>
    </row>
    <row r="65" spans="1:20" x14ac:dyDescent="0.25">
      <c r="A65" s="3"/>
      <c r="B65" s="3"/>
      <c r="C65" s="3"/>
      <c r="D65" s="3"/>
      <c r="E65" s="3"/>
      <c r="Q65" s="3"/>
      <c r="R65" s="3"/>
      <c r="S65" s="3"/>
    </row>
    <row r="66" spans="1:20" x14ac:dyDescent="0.25">
      <c r="A66" s="3"/>
      <c r="B66" s="3"/>
      <c r="C66" s="3"/>
      <c r="D66" s="3"/>
      <c r="E66" s="3"/>
      <c r="Q66" s="3"/>
    </row>
    <row r="67" spans="1:20" x14ac:dyDescent="0.25">
      <c r="A67" s="3"/>
      <c r="B67" s="3"/>
      <c r="C67" s="3"/>
      <c r="D67" s="3"/>
      <c r="E67" s="3"/>
      <c r="Q67" s="3"/>
    </row>
    <row r="68" spans="1:20" x14ac:dyDescent="0.25">
      <c r="A68" s="3"/>
      <c r="B68" s="3"/>
      <c r="C68" s="3"/>
      <c r="D68" s="3"/>
      <c r="E68" s="3"/>
      <c r="Q68" s="3"/>
    </row>
    <row r="69" spans="1:20" x14ac:dyDescent="0.25">
      <c r="A69" s="3"/>
      <c r="B69" s="3"/>
      <c r="C69" s="3"/>
      <c r="D69" s="3"/>
      <c r="E69" s="3"/>
      <c r="Q69" s="3"/>
    </row>
    <row r="70" spans="1:20" x14ac:dyDescent="0.25">
      <c r="A70" s="3"/>
      <c r="B70" s="3"/>
      <c r="C70" s="3"/>
      <c r="D70" s="3"/>
      <c r="E70" s="3"/>
      <c r="Q70" s="3"/>
    </row>
    <row r="71" spans="1:20" x14ac:dyDescent="0.25">
      <c r="A71" s="3"/>
      <c r="B71" s="3"/>
      <c r="C71" s="3"/>
      <c r="D71" s="3"/>
      <c r="E71" s="3"/>
      <c r="Q71" s="3"/>
    </row>
    <row r="72" spans="1:20" x14ac:dyDescent="0.25">
      <c r="A72" s="3"/>
      <c r="B72" s="3"/>
      <c r="C72" s="3"/>
      <c r="D72" s="3"/>
      <c r="E72" s="3"/>
      <c r="Q72" s="3"/>
    </row>
    <row r="73" spans="1:20" x14ac:dyDescent="0.25">
      <c r="A73" s="3"/>
      <c r="B73" s="3"/>
      <c r="C73" s="3"/>
      <c r="D73" s="3"/>
      <c r="E73" s="3"/>
      <c r="Q73" s="3"/>
      <c r="R73" s="3"/>
      <c r="S73" s="3"/>
    </row>
    <row r="74" spans="1:20" x14ac:dyDescent="0.25">
      <c r="A74" s="3"/>
      <c r="B74" s="3"/>
      <c r="C74" s="3"/>
      <c r="D74" s="3"/>
      <c r="E74" s="3"/>
      <c r="Q74" s="3"/>
    </row>
    <row r="75" spans="1:20" x14ac:dyDescent="0.25">
      <c r="A75" s="3"/>
      <c r="B75" s="3"/>
      <c r="C75" s="3"/>
      <c r="D75" s="3"/>
      <c r="E75" s="3"/>
      <c r="Q75" s="3"/>
    </row>
    <row r="76" spans="1:20" x14ac:dyDescent="0.25">
      <c r="A76" s="3"/>
      <c r="B76" s="3"/>
      <c r="C76" s="3"/>
      <c r="D76" s="3"/>
      <c r="E76" s="3"/>
      <c r="Q76" s="3"/>
      <c r="T76" s="21"/>
    </row>
    <row r="77" spans="1:20" x14ac:dyDescent="0.25">
      <c r="A77" s="3"/>
      <c r="B77" s="3"/>
      <c r="C77" s="3"/>
      <c r="D77" s="3"/>
      <c r="E77" s="3"/>
      <c r="Q77" s="3"/>
      <c r="T77" s="21"/>
    </row>
    <row r="78" spans="1:20" x14ac:dyDescent="0.25">
      <c r="A78" s="3"/>
      <c r="B78" s="3"/>
      <c r="C78" s="3"/>
      <c r="D78" s="3"/>
      <c r="E78" s="3"/>
      <c r="Q78" s="3"/>
      <c r="R78" s="3"/>
      <c r="S78" s="3"/>
    </row>
    <row r="79" spans="1:20" x14ac:dyDescent="0.25">
      <c r="A79" s="3"/>
      <c r="B79" s="3"/>
      <c r="C79" s="3"/>
      <c r="D79" s="3"/>
      <c r="E79" s="3"/>
      <c r="Q79" s="3"/>
    </row>
    <row r="80" spans="1:20" x14ac:dyDescent="0.25">
      <c r="A80" s="3"/>
      <c r="B80" s="3"/>
      <c r="C80" s="3"/>
      <c r="D80" s="3"/>
      <c r="E80" s="3"/>
      <c r="Q80" s="3"/>
    </row>
    <row r="81" spans="1:19" x14ac:dyDescent="0.25">
      <c r="A81" s="3"/>
      <c r="B81" s="3"/>
      <c r="C81" s="3"/>
      <c r="D81" s="3"/>
      <c r="E81" s="3"/>
      <c r="Q81" s="3"/>
    </row>
    <row r="82" spans="1:19" x14ac:dyDescent="0.25">
      <c r="A82" s="3"/>
      <c r="B82" s="3"/>
      <c r="C82" s="3"/>
      <c r="D82" s="3"/>
      <c r="E82" s="3"/>
      <c r="Q82" s="3"/>
    </row>
    <row r="83" spans="1:19" x14ac:dyDescent="0.25">
      <c r="A83" s="3"/>
      <c r="B83" s="3"/>
      <c r="C83" s="3"/>
      <c r="D83" s="3"/>
      <c r="E83" s="3"/>
      <c r="Q83" s="3"/>
    </row>
    <row r="84" spans="1:19" x14ac:dyDescent="0.25">
      <c r="A84" s="3"/>
      <c r="B84" s="3"/>
      <c r="C84" s="3"/>
      <c r="D84" s="3"/>
      <c r="E84" s="3"/>
      <c r="Q84" s="3"/>
    </row>
    <row r="85" spans="1:19" x14ac:dyDescent="0.25">
      <c r="A85" s="3"/>
      <c r="B85" s="3"/>
      <c r="C85" s="3"/>
      <c r="D85" s="3"/>
      <c r="E85" s="3"/>
      <c r="Q85" s="3"/>
    </row>
    <row r="86" spans="1:19" x14ac:dyDescent="0.25">
      <c r="A86" s="3"/>
      <c r="B86" s="3"/>
      <c r="C86" s="3"/>
      <c r="D86" s="3"/>
      <c r="E86" s="3"/>
      <c r="Q86" s="3"/>
    </row>
    <row r="87" spans="1:19" x14ac:dyDescent="0.25">
      <c r="A87" s="3"/>
      <c r="B87" s="3"/>
      <c r="C87" s="3"/>
      <c r="D87" s="3"/>
      <c r="E87" s="3"/>
      <c r="Q87" s="3"/>
      <c r="R87" s="3"/>
      <c r="S87" s="3"/>
    </row>
    <row r="88" spans="1:19" x14ac:dyDescent="0.25">
      <c r="A88" s="3"/>
      <c r="B88" s="3"/>
      <c r="C88" s="3"/>
      <c r="D88" s="3"/>
      <c r="E88" s="3"/>
      <c r="Q88" s="3"/>
      <c r="S88" s="3"/>
    </row>
    <row r="89" spans="1:19" x14ac:dyDescent="0.25">
      <c r="A89" s="3"/>
      <c r="B89" s="3"/>
      <c r="C89" s="3"/>
      <c r="D89" s="3"/>
      <c r="E89" s="3"/>
      <c r="Q89" s="3"/>
      <c r="S89" s="3"/>
    </row>
    <row r="90" spans="1:19" x14ac:dyDescent="0.25">
      <c r="A90" s="3"/>
      <c r="B90" s="3"/>
      <c r="C90" s="3"/>
      <c r="D90" s="3"/>
      <c r="E90" s="3"/>
      <c r="Q90" s="3"/>
      <c r="S90" s="3"/>
    </row>
    <row r="91" spans="1:19" x14ac:dyDescent="0.25">
      <c r="A91" s="3"/>
      <c r="B91" s="3"/>
      <c r="C91" s="3"/>
      <c r="D91" s="3"/>
      <c r="E91" s="3"/>
      <c r="Q91" s="3"/>
      <c r="R91" s="3"/>
      <c r="S91" s="3"/>
    </row>
    <row r="92" spans="1:19" x14ac:dyDescent="0.25">
      <c r="A92" s="3"/>
      <c r="B92" s="3"/>
      <c r="C92" s="3"/>
      <c r="D92" s="3"/>
      <c r="E92" s="3"/>
      <c r="Q92" s="3"/>
    </row>
    <row r="93" spans="1:19" x14ac:dyDescent="0.25">
      <c r="A93" s="3"/>
      <c r="B93" s="3"/>
      <c r="C93" s="3"/>
      <c r="D93" s="3"/>
      <c r="E93" s="3"/>
      <c r="Q93" s="3"/>
    </row>
    <row r="94" spans="1:19" x14ac:dyDescent="0.25">
      <c r="A94" s="3"/>
      <c r="B94" s="3"/>
      <c r="C94" s="3"/>
      <c r="D94" s="3"/>
      <c r="E94" s="3"/>
      <c r="Q94" s="3"/>
    </row>
    <row r="95" spans="1:19" x14ac:dyDescent="0.25">
      <c r="A95" s="3"/>
      <c r="B95" s="3"/>
      <c r="C95" s="3"/>
      <c r="D95" s="3"/>
      <c r="E95" s="3"/>
      <c r="Q95" s="3"/>
    </row>
    <row r="96" spans="1:19" x14ac:dyDescent="0.25">
      <c r="A96" s="3"/>
      <c r="B96" s="3"/>
      <c r="C96" s="3"/>
      <c r="D96" s="3"/>
      <c r="E96" s="3"/>
      <c r="Q96" s="3"/>
    </row>
    <row r="97" spans="1:20" x14ac:dyDescent="0.25">
      <c r="A97" s="3"/>
      <c r="B97" s="3"/>
      <c r="C97" s="3"/>
      <c r="D97" s="3"/>
      <c r="E97" s="3"/>
      <c r="Q97" s="3"/>
    </row>
    <row r="98" spans="1:20" x14ac:dyDescent="0.25">
      <c r="A98" s="3"/>
      <c r="B98" s="3"/>
      <c r="C98" s="3"/>
      <c r="D98" s="3"/>
      <c r="E98" s="3"/>
      <c r="Q98" s="3"/>
    </row>
    <row r="99" spans="1:20" x14ac:dyDescent="0.25">
      <c r="A99" s="3"/>
      <c r="B99" s="3"/>
      <c r="C99" s="3"/>
      <c r="D99" s="3"/>
      <c r="E99" s="3"/>
      <c r="Q99" s="3"/>
    </row>
    <row r="100" spans="1:20" x14ac:dyDescent="0.25">
      <c r="A100" s="3"/>
      <c r="B100" s="3"/>
      <c r="C100" s="3"/>
      <c r="D100" s="3"/>
      <c r="E100" s="3"/>
      <c r="Q100" s="3"/>
    </row>
    <row r="101" spans="1:20" x14ac:dyDescent="0.25">
      <c r="A101" s="3"/>
      <c r="B101" s="3"/>
      <c r="C101" s="3"/>
      <c r="D101" s="3"/>
      <c r="E101" s="3"/>
      <c r="Q101" s="3"/>
    </row>
    <row r="102" spans="1:20" x14ac:dyDescent="0.25">
      <c r="A102" s="3"/>
      <c r="B102" s="3"/>
      <c r="C102" s="3"/>
      <c r="D102" s="3"/>
      <c r="E102" s="3"/>
      <c r="Q102" s="3"/>
      <c r="R102" s="3"/>
      <c r="S102" s="3"/>
    </row>
    <row r="103" spans="1:20" x14ac:dyDescent="0.25">
      <c r="A103" s="3"/>
      <c r="B103" s="3"/>
      <c r="C103" s="3"/>
      <c r="D103" s="3"/>
      <c r="E103" s="3"/>
      <c r="Q103" s="3"/>
    </row>
    <row r="104" spans="1:20" x14ac:dyDescent="0.25">
      <c r="A104" s="3"/>
      <c r="B104" s="3"/>
      <c r="C104" s="3"/>
      <c r="D104" s="3"/>
      <c r="E104" s="3"/>
      <c r="Q104" s="3"/>
    </row>
    <row r="105" spans="1:20" x14ac:dyDescent="0.25">
      <c r="A105" s="3"/>
      <c r="B105" s="3"/>
      <c r="C105" s="3"/>
      <c r="D105" s="3"/>
      <c r="E105" s="3"/>
      <c r="Q105" s="3"/>
    </row>
    <row r="106" spans="1:20" x14ac:dyDescent="0.25">
      <c r="A106" s="3"/>
      <c r="B106" s="3"/>
      <c r="C106" s="3"/>
      <c r="D106" s="3"/>
      <c r="E106" s="3"/>
      <c r="Q106" s="3"/>
    </row>
    <row r="107" spans="1:20" x14ac:dyDescent="0.25">
      <c r="A107" s="3"/>
      <c r="B107" s="3"/>
      <c r="C107" s="3"/>
      <c r="D107" s="3"/>
      <c r="E107" s="3"/>
      <c r="Q107" s="3"/>
      <c r="R107" s="20"/>
      <c r="S107" s="20"/>
      <c r="T107" s="22"/>
    </row>
    <row r="108" spans="1:20" x14ac:dyDescent="0.25">
      <c r="A108" s="3"/>
      <c r="B108" s="3"/>
      <c r="C108" s="3"/>
      <c r="D108" s="3"/>
      <c r="E108" s="3"/>
      <c r="Q108" s="3"/>
      <c r="S108" s="3"/>
    </row>
    <row r="109" spans="1:20" x14ac:dyDescent="0.25">
      <c r="A109" s="3"/>
      <c r="B109" s="3"/>
      <c r="C109" s="3"/>
      <c r="D109" s="3"/>
      <c r="E109" s="3"/>
      <c r="Q109" s="3"/>
      <c r="S109" s="3"/>
    </row>
    <row r="110" spans="1:20" x14ac:dyDescent="0.25">
      <c r="A110" s="3"/>
      <c r="B110" s="3"/>
      <c r="C110" s="3"/>
      <c r="D110" s="3"/>
      <c r="E110" s="3"/>
      <c r="Q110" s="3"/>
      <c r="S110" s="3"/>
    </row>
    <row r="111" spans="1:20" x14ac:dyDescent="0.25">
      <c r="A111" s="3"/>
      <c r="B111" s="3"/>
      <c r="C111" s="3"/>
      <c r="D111" s="3"/>
      <c r="E111" s="3"/>
      <c r="Q111" s="3"/>
      <c r="R111" s="3"/>
      <c r="S111" s="3"/>
    </row>
    <row r="112" spans="1:20" x14ac:dyDescent="0.25">
      <c r="A112" s="3"/>
      <c r="B112" s="3"/>
      <c r="C112" s="3"/>
      <c r="D112" s="3"/>
      <c r="E112" s="3"/>
      <c r="Q112" s="3"/>
    </row>
    <row r="113" spans="1:19" x14ac:dyDescent="0.25">
      <c r="A113" s="3"/>
      <c r="B113" s="3"/>
      <c r="C113" s="3"/>
      <c r="D113" s="3"/>
      <c r="E113" s="3"/>
      <c r="Q113" s="3"/>
    </row>
    <row r="114" spans="1:19" x14ac:dyDescent="0.25">
      <c r="A114" s="3"/>
      <c r="B114" s="3"/>
      <c r="C114" s="3"/>
      <c r="D114" s="3"/>
      <c r="E114" s="3"/>
      <c r="Q114" s="3"/>
    </row>
    <row r="115" spans="1:19" x14ac:dyDescent="0.25">
      <c r="A115" s="3"/>
      <c r="B115" s="3"/>
      <c r="C115" s="3"/>
      <c r="D115" s="3"/>
      <c r="E115" s="3"/>
      <c r="Q115" s="3"/>
    </row>
    <row r="116" spans="1:19" x14ac:dyDescent="0.25">
      <c r="A116" s="3"/>
      <c r="B116" s="3"/>
      <c r="C116" s="3"/>
      <c r="D116" s="3"/>
      <c r="E116" s="3"/>
      <c r="Q116" s="3"/>
    </row>
    <row r="117" spans="1:19" x14ac:dyDescent="0.25">
      <c r="A117" s="3"/>
      <c r="B117" s="3"/>
      <c r="C117" s="3"/>
      <c r="D117" s="3"/>
      <c r="E117" s="3"/>
      <c r="Q117" s="3"/>
      <c r="R117" s="3"/>
      <c r="S117" s="3"/>
    </row>
    <row r="118" spans="1:19" x14ac:dyDescent="0.25">
      <c r="A118" s="3"/>
      <c r="B118" s="3"/>
      <c r="C118" s="3"/>
      <c r="D118" s="3"/>
      <c r="E118" s="3"/>
      <c r="Q118" s="3"/>
      <c r="R118" s="3"/>
      <c r="S118" s="3"/>
    </row>
    <row r="119" spans="1:19" x14ac:dyDescent="0.25">
      <c r="A119" s="3"/>
      <c r="B119" s="3"/>
      <c r="C119" s="3"/>
      <c r="D119" s="3"/>
      <c r="E119" s="3"/>
      <c r="Q119" s="3"/>
      <c r="R119" s="3"/>
      <c r="S119" s="3"/>
    </row>
    <row r="120" spans="1:19" x14ac:dyDescent="0.25">
      <c r="A120" s="3"/>
      <c r="B120" s="3"/>
      <c r="C120" s="3"/>
      <c r="D120" s="3"/>
      <c r="E120" s="3"/>
      <c r="Q120" s="3"/>
      <c r="R120" s="3"/>
      <c r="S120" s="3"/>
    </row>
    <row r="121" spans="1:19" x14ac:dyDescent="0.25">
      <c r="A121" s="3"/>
      <c r="B121" s="3"/>
      <c r="C121" s="3"/>
      <c r="D121" s="3"/>
      <c r="E121" s="3"/>
      <c r="Q121" s="3"/>
      <c r="R121" s="3"/>
      <c r="S121" s="3"/>
    </row>
    <row r="122" spans="1:19" x14ac:dyDescent="0.25">
      <c r="A122" s="3"/>
      <c r="B122" s="3"/>
      <c r="C122" s="3"/>
      <c r="D122" s="3"/>
      <c r="E122" s="3"/>
      <c r="Q122" s="3"/>
      <c r="R122" s="3"/>
      <c r="S122" s="3"/>
    </row>
    <row r="123" spans="1:19" x14ac:dyDescent="0.25">
      <c r="A123" s="3"/>
      <c r="B123" s="3"/>
      <c r="C123" s="3"/>
      <c r="D123" s="3"/>
      <c r="E123" s="3"/>
      <c r="Q123" s="3"/>
      <c r="R123" s="3"/>
      <c r="S123" s="3"/>
    </row>
    <row r="124" spans="1:19" x14ac:dyDescent="0.25">
      <c r="A124" s="3"/>
      <c r="B124" s="3"/>
      <c r="C124" s="3"/>
      <c r="D124" s="3"/>
      <c r="E124" s="3"/>
      <c r="Q124" s="3"/>
      <c r="R124" s="3"/>
      <c r="S124" s="3"/>
    </row>
    <row r="125" spans="1:19" x14ac:dyDescent="0.25">
      <c r="A125" s="3"/>
      <c r="B125" s="3"/>
      <c r="C125" s="3"/>
      <c r="D125" s="3"/>
      <c r="E125" s="3"/>
      <c r="Q125" s="3"/>
      <c r="R125" s="3"/>
      <c r="S125" s="3"/>
    </row>
    <row r="126" spans="1:19" x14ac:dyDescent="0.25">
      <c r="A126" s="3"/>
      <c r="B126" s="3"/>
      <c r="C126" s="3"/>
      <c r="D126" s="3"/>
      <c r="E126" s="3"/>
      <c r="Q126" s="3"/>
      <c r="R126" s="3"/>
      <c r="S126" s="3"/>
    </row>
    <row r="127" spans="1:19" x14ac:dyDescent="0.25">
      <c r="A127" s="3"/>
      <c r="B127" s="3"/>
      <c r="C127" s="3"/>
      <c r="D127" s="3"/>
      <c r="E127" s="3"/>
      <c r="Q127" s="3"/>
      <c r="R127" s="3"/>
      <c r="S127" s="3"/>
    </row>
    <row r="128" spans="1:19" x14ac:dyDescent="0.25">
      <c r="A128" s="3"/>
      <c r="B128" s="3"/>
      <c r="C128" s="3"/>
      <c r="D128" s="3"/>
      <c r="E128" s="3"/>
      <c r="Q128" s="3"/>
      <c r="R128" s="3"/>
      <c r="S128" s="3"/>
    </row>
    <row r="129" spans="1:19" x14ac:dyDescent="0.25">
      <c r="A129" s="3"/>
      <c r="B129" s="3"/>
      <c r="C129" s="3"/>
      <c r="D129" s="3"/>
      <c r="E129" s="3"/>
      <c r="Q129" s="3"/>
      <c r="R129" s="3"/>
      <c r="S129" s="3"/>
    </row>
    <row r="130" spans="1:19" x14ac:dyDescent="0.25">
      <c r="A130" s="3"/>
      <c r="B130" s="3"/>
      <c r="C130" s="3"/>
      <c r="D130" s="3"/>
      <c r="E130" s="3"/>
      <c r="Q130" s="3"/>
      <c r="R130" s="3"/>
      <c r="S130" s="3"/>
    </row>
    <row r="131" spans="1:19" x14ac:dyDescent="0.25">
      <c r="A131" s="3"/>
      <c r="B131" s="3"/>
      <c r="C131" s="3"/>
      <c r="D131" s="3"/>
      <c r="E131" s="3"/>
      <c r="Q131" s="3"/>
      <c r="R131" s="3"/>
      <c r="S131" s="3"/>
    </row>
    <row r="132" spans="1:19" x14ac:dyDescent="0.25">
      <c r="A132" s="3"/>
      <c r="B132" s="3"/>
      <c r="C132" s="3"/>
      <c r="D132" s="3"/>
      <c r="E132" s="3"/>
      <c r="Q132" s="3"/>
      <c r="R132" s="3"/>
      <c r="S132" s="3"/>
    </row>
    <row r="133" spans="1:19" x14ac:dyDescent="0.25">
      <c r="A133" s="3"/>
      <c r="B133" s="3"/>
      <c r="C133" s="3"/>
      <c r="D133" s="3"/>
      <c r="E133" s="3"/>
      <c r="Q133" s="3"/>
      <c r="R133" s="3"/>
      <c r="S133" s="3"/>
    </row>
    <row r="134" spans="1:19" x14ac:dyDescent="0.25">
      <c r="A134" s="3"/>
      <c r="B134" s="3"/>
      <c r="C134" s="3"/>
      <c r="D134" s="3"/>
      <c r="E134" s="3"/>
      <c r="Q134" s="3"/>
      <c r="R134" s="3"/>
      <c r="S134" s="3"/>
    </row>
    <row r="135" spans="1:19" x14ac:dyDescent="0.25">
      <c r="A135" s="3"/>
      <c r="B135" s="3"/>
      <c r="C135" s="3"/>
      <c r="D135" s="3"/>
      <c r="E135" s="3"/>
      <c r="Q135" s="3"/>
      <c r="R135" s="3"/>
      <c r="S135" s="3"/>
    </row>
    <row r="136" spans="1:19" x14ac:dyDescent="0.25">
      <c r="A136" s="3"/>
      <c r="B136" s="3"/>
      <c r="C136" s="3"/>
      <c r="D136" s="3"/>
      <c r="E136" s="3"/>
      <c r="Q136" s="3"/>
      <c r="R136" s="3"/>
      <c r="S136" s="3"/>
    </row>
    <row r="137" spans="1:19" x14ac:dyDescent="0.25">
      <c r="A137" s="3"/>
      <c r="B137" s="3"/>
      <c r="C137" s="3"/>
      <c r="D137" s="3"/>
      <c r="E137" s="3"/>
      <c r="Q137" s="3"/>
      <c r="R137" s="3"/>
      <c r="S137" s="3"/>
    </row>
    <row r="138" spans="1:19" x14ac:dyDescent="0.25">
      <c r="A138" s="3"/>
      <c r="B138" s="3"/>
      <c r="C138" s="3"/>
      <c r="D138" s="3"/>
      <c r="E138" s="3"/>
      <c r="Q138" s="3"/>
      <c r="R138" s="3"/>
      <c r="S138" s="3"/>
    </row>
    <row r="139" spans="1:19" x14ac:dyDescent="0.25">
      <c r="A139" s="3"/>
      <c r="B139" s="3"/>
      <c r="C139" s="3"/>
      <c r="D139" s="3"/>
      <c r="E139" s="3"/>
      <c r="Q139" s="3"/>
      <c r="R139" s="3"/>
      <c r="S139" s="3"/>
    </row>
    <row r="140" spans="1:19" x14ac:dyDescent="0.25">
      <c r="A140" s="3"/>
      <c r="B140" s="3"/>
      <c r="C140" s="3"/>
      <c r="D140" s="3"/>
      <c r="E140" s="3"/>
      <c r="Q140" s="3"/>
      <c r="R140" s="3"/>
      <c r="S140" s="3"/>
    </row>
    <row r="141" spans="1:19" x14ac:dyDescent="0.25">
      <c r="A141" s="3"/>
      <c r="B141" s="3"/>
      <c r="C141" s="3"/>
      <c r="D141" s="3"/>
      <c r="E141" s="3"/>
      <c r="Q141" s="3"/>
      <c r="R141" s="3"/>
      <c r="S141" s="3"/>
    </row>
    <row r="142" spans="1:19" x14ac:dyDescent="0.25">
      <c r="A142" s="3"/>
      <c r="B142" s="3"/>
      <c r="C142" s="3"/>
      <c r="D142" s="3"/>
      <c r="E142" s="3"/>
      <c r="Q142" s="3"/>
      <c r="R142" s="3"/>
      <c r="S142" s="3"/>
    </row>
    <row r="143" spans="1:19" x14ac:dyDescent="0.25">
      <c r="A143" s="3"/>
      <c r="B143" s="3"/>
      <c r="C143" s="3"/>
      <c r="D143" s="3"/>
      <c r="E143" s="3"/>
      <c r="Q143" s="3"/>
      <c r="R143" s="3"/>
      <c r="S143" s="3"/>
    </row>
    <row r="144" spans="1:19" x14ac:dyDescent="0.25">
      <c r="A144" s="3"/>
      <c r="B144" s="3"/>
      <c r="C144" s="3"/>
      <c r="D144" s="3"/>
      <c r="E144" s="3"/>
      <c r="Q144" s="3"/>
      <c r="R144" s="3"/>
      <c r="S144" s="3"/>
    </row>
    <row r="145" spans="1:19" x14ac:dyDescent="0.25">
      <c r="A145" s="3"/>
      <c r="B145" s="3"/>
      <c r="C145" s="3"/>
      <c r="D145" s="3"/>
      <c r="E145" s="3"/>
      <c r="Q145" s="3"/>
      <c r="R145" s="3"/>
      <c r="S145" s="3"/>
    </row>
  </sheetData>
  <sheetProtection password="F660" sheet="1" objects="1" scenarios="1" formatCells="0"/>
  <mergeCells count="18">
    <mergeCell ref="B30:F30"/>
    <mergeCell ref="B31:F31"/>
    <mergeCell ref="B32:F32"/>
    <mergeCell ref="C7:E7"/>
    <mergeCell ref="C6:E6"/>
    <mergeCell ref="B29:F29"/>
    <mergeCell ref="D26:F26"/>
    <mergeCell ref="D28:F28"/>
    <mergeCell ref="C13:E13"/>
    <mergeCell ref="A4:F4"/>
    <mergeCell ref="B21:E21"/>
    <mergeCell ref="B22:E22"/>
    <mergeCell ref="B23:E23"/>
    <mergeCell ref="B24:E24"/>
    <mergeCell ref="C11:E11"/>
    <mergeCell ref="C8:E8"/>
    <mergeCell ref="C12:E12"/>
    <mergeCell ref="C9:E9"/>
  </mergeCells>
  <conditionalFormatting sqref="C18">
    <cfRule type="cellIs" dxfId="0" priority="1" stopIfTrue="1" operator="lessThan">
      <formula>0</formula>
    </cfRule>
  </conditionalFormatting>
  <dataValidations count="4">
    <dataValidation type="list" allowBlank="1" showErrorMessage="1" errorTitle="Lỗi" error="Vui lòng chỉ chọn các đơn vị có trong danh sách" sqref="C7:E7">
      <formula1>DONVI</formula1>
    </dataValidation>
    <dataValidation type="list" allowBlank="1" showInputMessage="1" showErrorMessage="1" errorTitle="Lỗi !" error="Vui lòng chỉ chọn các chức danh có trong danh sách !" sqref="C8:E9">
      <formula1>CHUCDANH</formula1>
    </dataValidation>
    <dataValidation type="list" allowBlank="1" showInputMessage="1" showErrorMessage="1" errorTitle="Lỗi" error="Vui lòng chỉ chọn các chức danh có trong danh sách" sqref="D11:E11 C11:C12">
      <formula1>MIENGIAM</formula1>
    </dataValidation>
    <dataValidation type="list" allowBlank="1" showInputMessage="1" showErrorMessage="1" sqref="C13:E13">
      <formula1>COVID19</formula1>
    </dataValidation>
  </dataValidations>
  <hyperlinks>
    <hyperlink ref="B21" location="DETAI!A1" display="Phần 1 - Chủ trì hoặc tham gia các chương trình, đề án, dự án, đề tài NCKH:"/>
    <hyperlink ref="B22" location="GIAOTRINH!A1" display="Phần 2 - Chủ trì hoặc tham gia biên soạn giáo trình môn học, sách chuyên khảo, tài liệu tham khảo phục vụ giảng dạy, học tập:"/>
    <hyperlink ref="B23" location="BAIBAO!A1" display="Phần 3 - Công bố các công trình nghiên cứu trên các tạp chí, trình bày báo cáo khoa học tại các hội nghị, hội thảo:"/>
    <hyperlink ref="B24" location="GIAITHUONG!A1" display="Phần 4 - Thực hiện các hợp đồng NCKH, chuyển giao công nghệ, tham gia các cuộc thi sáng tạo, …:"/>
    <hyperlink ref="B21:E21" location="'Phan 1 - DETAI'!A1" display="Phần 1 - Chủ trì hoặc tham gia các chương trình, đề tài, dự án KHCN:"/>
    <hyperlink ref="B22:E22" location="'Phan 2 - GIAOTRINH'!A1" display="Phần 2 - Chủ biên hoặc tham gia biên soạn giáo trình môn học, sách chuyên khảo, sách tham khảo phục vụ giảng dạy, học tập:"/>
    <hyperlink ref="B23:E23" location="'Phan 3 - BAIBAO'!A1" display="Phần 3 - Các công bố khoa học trên các tạp chí khoa học trong và ngoài nước, hội thảo khoa học trong và ngoài nước:"/>
    <hyperlink ref="B24:E24" location="'Phan 4 - GIAITHUONG'!A1" display="Phần 4 - Các giải thưởng khoa học và kỹ thuật, các công trình tham gia các cuộc thi sáng tạo khoa học và triển lãm KHCN:"/>
  </hyperlinks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58"/>
  <sheetViews>
    <sheetView zoomScaleNormal="100" zoomScaleSheetLayoutView="100"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4.5703125" style="36" customWidth="1"/>
    <col min="2" max="2" width="55.5703125" style="36" customWidth="1"/>
    <col min="3" max="3" width="27.140625" style="36" customWidth="1"/>
    <col min="4" max="4" width="21.42578125" style="36" customWidth="1"/>
    <col min="5" max="5" width="17.7109375" style="36" customWidth="1"/>
    <col min="6" max="6" width="15.85546875" style="36" customWidth="1"/>
    <col min="7" max="7" width="20.42578125" style="36" customWidth="1"/>
    <col min="8" max="8" width="9.28515625" style="36" customWidth="1"/>
    <col min="9" max="9" width="9.85546875" style="36" customWidth="1"/>
    <col min="10" max="10" width="11.42578125" style="36" hidden="1" customWidth="1"/>
    <col min="11" max="11" width="18.85546875" style="36" hidden="1" customWidth="1"/>
    <col min="12" max="13" width="9.85546875" style="36" hidden="1" customWidth="1"/>
    <col min="14" max="14" width="0" style="129" hidden="1" customWidth="1"/>
    <col min="15" max="15" width="12.85546875" style="135" hidden="1" customWidth="1"/>
    <col min="16" max="16" width="12" style="36" hidden="1" customWidth="1"/>
    <col min="17" max="17" width="12" style="36" customWidth="1"/>
    <col min="18" max="18" width="14" style="36" customWidth="1"/>
    <col min="19" max="16384" width="9.140625" style="36"/>
  </cols>
  <sheetData>
    <row r="1" spans="1:18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47"/>
      <c r="O1" s="131"/>
      <c r="P1" s="47"/>
    </row>
    <row r="2" spans="1:18" ht="24.95" customHeight="1" x14ac:dyDescent="0.25">
      <c r="A2" s="8" t="s">
        <v>73</v>
      </c>
      <c r="B2" s="1"/>
      <c r="C2" s="1"/>
      <c r="D2" s="1"/>
      <c r="E2" s="1"/>
      <c r="F2" s="1"/>
      <c r="G2" s="1"/>
      <c r="H2" s="1"/>
      <c r="I2" s="6"/>
      <c r="J2" s="6"/>
      <c r="K2" s="6"/>
      <c r="L2" s="6"/>
      <c r="M2" s="44"/>
      <c r="O2" s="132"/>
      <c r="P2" s="44"/>
    </row>
    <row r="3" spans="1:18" ht="38.25" x14ac:dyDescent="0.25">
      <c r="A3" s="23" t="s">
        <v>40</v>
      </c>
      <c r="B3" s="24" t="s">
        <v>56</v>
      </c>
      <c r="C3" s="24" t="s">
        <v>162</v>
      </c>
      <c r="D3" s="24" t="s">
        <v>55</v>
      </c>
      <c r="E3" s="24" t="s">
        <v>37</v>
      </c>
      <c r="F3" s="24" t="s">
        <v>203</v>
      </c>
      <c r="G3" s="24" t="s">
        <v>215</v>
      </c>
      <c r="H3" s="24" t="s">
        <v>136</v>
      </c>
      <c r="I3" s="24" t="s">
        <v>50</v>
      </c>
      <c r="J3" s="125" t="s">
        <v>209</v>
      </c>
      <c r="K3" s="125" t="s">
        <v>208</v>
      </c>
      <c r="L3" s="125" t="s">
        <v>207</v>
      </c>
      <c r="M3" s="45" t="s">
        <v>57</v>
      </c>
      <c r="N3" s="45" t="s">
        <v>199</v>
      </c>
      <c r="O3" s="127" t="s">
        <v>210</v>
      </c>
      <c r="P3" s="45" t="s">
        <v>52</v>
      </c>
      <c r="Q3" s="126"/>
      <c r="R3" s="126"/>
    </row>
    <row r="4" spans="1:18" ht="20.100000000000001" customHeight="1" x14ac:dyDescent="0.25">
      <c r="A4" s="62" t="s">
        <v>79</v>
      </c>
      <c r="B4" s="26"/>
      <c r="C4" s="26"/>
      <c r="D4" s="26"/>
      <c r="E4" s="26"/>
      <c r="F4" s="26"/>
      <c r="G4" s="26"/>
      <c r="H4" s="26"/>
      <c r="I4" s="94"/>
      <c r="J4" s="94"/>
      <c r="K4" s="94"/>
      <c r="L4" s="94"/>
      <c r="M4" s="49"/>
      <c r="N4" s="128"/>
      <c r="O4" s="133"/>
      <c r="P4" s="37"/>
    </row>
    <row r="5" spans="1:18" ht="39.950000000000003" customHeight="1" x14ac:dyDescent="0.25">
      <c r="A5" s="12">
        <v>1</v>
      </c>
      <c r="B5" s="25"/>
      <c r="C5" s="25"/>
      <c r="D5" s="102"/>
      <c r="E5" s="99"/>
      <c r="F5" s="99" t="s">
        <v>200</v>
      </c>
      <c r="G5" s="9"/>
      <c r="H5" s="9"/>
      <c r="I5" s="10" t="str">
        <f>IF(ISNUMBER(O5),ROUND(O5*VLOOKUP(E5,HINHTHUC_DETAI_LOOKUP,2,FALSE),1),"")</f>
        <v/>
      </c>
      <c r="J5" s="10">
        <f>IF(F5&lt;&gt;"",VLOOKUP(F5,THUKY_LOOKUP,2,FALSE),0)</f>
        <v>1</v>
      </c>
      <c r="K5" s="10">
        <f>IF(E5&lt;&gt;"",VLOOKUP(E5,HINHTHUC_DETAI_LOOKUP,3,FALSE),0)</f>
        <v>0</v>
      </c>
      <c r="L5" s="10" t="b">
        <f>NOT(AND(J5=0,K5=1))</f>
        <v>1</v>
      </c>
      <c r="M5" s="50" t="b">
        <f>AND(B5&lt;&gt;"",C5&lt;&gt;"",D5&lt;&gt;"",E5&lt;&gt;"",F5&lt;&gt;"",G5&lt;&gt;"",H5&lt;&gt;"",L5)</f>
        <v>0</v>
      </c>
      <c r="N5" s="128">
        <f>4+J5*2+G5</f>
        <v>6</v>
      </c>
      <c r="O5" s="133" t="str">
        <f>IF(P5="","",P5/N5)</f>
        <v/>
      </c>
      <c r="P5" s="37" t="str">
        <f>IF(M5,GIOCHUAN_NN*H5,"")</f>
        <v/>
      </c>
    </row>
    <row r="6" spans="1:18" ht="39.950000000000003" customHeight="1" x14ac:dyDescent="0.25">
      <c r="A6" s="12">
        <v>2</v>
      </c>
      <c r="B6" s="25"/>
      <c r="C6" s="25"/>
      <c r="D6" s="102"/>
      <c r="E6" s="99"/>
      <c r="F6" s="99" t="s">
        <v>200</v>
      </c>
      <c r="G6" s="9"/>
      <c r="H6" s="9"/>
      <c r="I6" s="10" t="str">
        <f>IF(ISNUMBER(O6),ROUND(O6*VLOOKUP(E6,HINHTHUC_DETAI_LOOKUP,2,FALSE),1),"")</f>
        <v/>
      </c>
      <c r="J6" s="10">
        <f>IF(F6&lt;&gt;"",VLOOKUP(F6,THUKY_LOOKUP,2,FALSE),0)</f>
        <v>1</v>
      </c>
      <c r="K6" s="10">
        <f>IF(E6&lt;&gt;"",VLOOKUP(E6,HINHTHUC_DETAI_LOOKUP,3,FALSE),0)</f>
        <v>0</v>
      </c>
      <c r="L6" s="10" t="b">
        <f>NOT(AND(J6=0,K6=1))</f>
        <v>1</v>
      </c>
      <c r="M6" s="50" t="b">
        <f>AND(B6&lt;&gt;"",C6&lt;&gt;"",D6&lt;&gt;"",E6&lt;&gt;"",F6&lt;&gt;"",G6&lt;&gt;"",H6&lt;&gt;"",L6)</f>
        <v>0</v>
      </c>
      <c r="N6" s="128">
        <f>4+J6*2+G6</f>
        <v>6</v>
      </c>
      <c r="O6" s="133" t="str">
        <f>IF(P6="","",P6/N6)</f>
        <v/>
      </c>
      <c r="P6" s="37" t="str">
        <f>IF(M6,GIOCHUAN_NN*H6,"")</f>
        <v/>
      </c>
    </row>
    <row r="7" spans="1:18" ht="39.950000000000003" customHeight="1" x14ac:dyDescent="0.25">
      <c r="A7" s="12">
        <v>3</v>
      </c>
      <c r="B7" s="25"/>
      <c r="C7" s="25"/>
      <c r="D7" s="102"/>
      <c r="E7" s="9"/>
      <c r="F7" s="99" t="s">
        <v>200</v>
      </c>
      <c r="G7" s="9"/>
      <c r="H7" s="9"/>
      <c r="I7" s="10" t="str">
        <f>IF(ISNUMBER(O7),ROUND(O7*VLOOKUP(E7,HINHTHUC_DETAI_LOOKUP,2,FALSE),1),"")</f>
        <v/>
      </c>
      <c r="J7" s="10">
        <f>IF(F7&lt;&gt;"",VLOOKUP(F7,THUKY_LOOKUP,2,FALSE),0)</f>
        <v>1</v>
      </c>
      <c r="K7" s="10">
        <f>IF(E7&lt;&gt;"",VLOOKUP(E7,HINHTHUC_DETAI_LOOKUP,3,FALSE),0)</f>
        <v>0</v>
      </c>
      <c r="L7" s="10" t="b">
        <f>NOT(AND(J7=0,K7=1))</f>
        <v>1</v>
      </c>
      <c r="M7" s="50" t="b">
        <f>AND(B7&lt;&gt;"",C7&lt;&gt;"",D7&lt;&gt;"",E7&lt;&gt;"",F7&lt;&gt;"",G7&lt;&gt;"",H7&lt;&gt;"",L7)</f>
        <v>0</v>
      </c>
      <c r="N7" s="128">
        <f>4+J7*2+G7</f>
        <v>6</v>
      </c>
      <c r="O7" s="133" t="str">
        <f>IF(P7="","",P7/N7)</f>
        <v/>
      </c>
      <c r="P7" s="37" t="str">
        <f>IF(M7,GIOCHUAN_NN*H7,"")</f>
        <v/>
      </c>
    </row>
    <row r="8" spans="1:18" hidden="1" x14ac:dyDescent="0.25">
      <c r="A8" s="145"/>
      <c r="B8" s="140"/>
      <c r="C8" s="140"/>
      <c r="D8" s="140"/>
      <c r="E8" s="140"/>
      <c r="F8" s="140"/>
      <c r="G8" s="141"/>
      <c r="H8" s="141"/>
      <c r="I8" s="139">
        <f>SUM(I5:I7)</f>
        <v>0</v>
      </c>
      <c r="J8" s="139"/>
      <c r="K8" s="139"/>
      <c r="L8" s="139"/>
      <c r="M8" s="139"/>
      <c r="N8" s="142"/>
      <c r="O8" s="143"/>
      <c r="P8" s="144"/>
    </row>
    <row r="9" spans="1:18" ht="20.100000000000001" customHeight="1" x14ac:dyDescent="0.25">
      <c r="A9" s="62" t="s">
        <v>80</v>
      </c>
      <c r="B9" s="26"/>
      <c r="C9" s="26"/>
      <c r="D9" s="26"/>
      <c r="E9" s="26"/>
      <c r="F9" s="26"/>
      <c r="G9" s="26"/>
      <c r="H9" s="26"/>
      <c r="I9" s="10"/>
      <c r="J9" s="10"/>
      <c r="K9" s="10"/>
      <c r="L9" s="10"/>
      <c r="M9" s="50"/>
      <c r="N9" s="128"/>
      <c r="O9" s="133"/>
      <c r="P9" s="37"/>
    </row>
    <row r="10" spans="1:18" ht="39.950000000000003" customHeight="1" x14ac:dyDescent="0.25">
      <c r="A10" s="12">
        <v>1</v>
      </c>
      <c r="B10" s="25"/>
      <c r="C10" s="25"/>
      <c r="D10" s="102"/>
      <c r="E10" s="9"/>
      <c r="F10" s="9" t="s">
        <v>200</v>
      </c>
      <c r="G10" s="9"/>
      <c r="H10" s="9"/>
      <c r="I10" s="10" t="str">
        <f>IF(ISNUMBER(O10),ROUND(O10*VLOOKUP(E10,HINHTHUC_DETAI_LOOKUP,2,FALSE),1),"")</f>
        <v/>
      </c>
      <c r="J10" s="10">
        <f>IF(F10&lt;&gt;"",VLOOKUP(F10,THUKY_LOOKUP,2,FALSE),0)</f>
        <v>1</v>
      </c>
      <c r="K10" s="10">
        <f>IF(E10&lt;&gt;"",VLOOKUP(E10,HINHTHUC_DETAI_LOOKUP,3,FALSE),0)</f>
        <v>0</v>
      </c>
      <c r="L10" s="10" t="b">
        <f t="shared" ref="L10:L35" si="0">NOT(AND(J10=0,K10=1))</f>
        <v>1</v>
      </c>
      <c r="M10" s="50" t="b">
        <f t="shared" ref="M10:M35" si="1">AND(B10&lt;&gt;"",C10&lt;&gt;"",D10&lt;&gt;"",E10&lt;&gt;"",F10&lt;&gt;"",G10&lt;&gt;"",H10&lt;&gt;"",L10)</f>
        <v>0</v>
      </c>
      <c r="N10" s="128">
        <f t="shared" ref="N10:N35" si="2">4+J10*2+G10</f>
        <v>6</v>
      </c>
      <c r="O10" s="133" t="str">
        <f t="shared" ref="O10:O40" si="3">IF(P10="","",P10/N10)</f>
        <v/>
      </c>
      <c r="P10" s="37" t="str">
        <f>IF(M10,GIOCHUAN_HTQT*H10,"")</f>
        <v/>
      </c>
    </row>
    <row r="11" spans="1:18" ht="39.950000000000003" customHeight="1" x14ac:dyDescent="0.25">
      <c r="A11" s="12">
        <v>2</v>
      </c>
      <c r="B11" s="25"/>
      <c r="C11" s="25"/>
      <c r="D11" s="102"/>
      <c r="E11" s="9"/>
      <c r="F11" s="9" t="s">
        <v>200</v>
      </c>
      <c r="G11" s="9"/>
      <c r="H11" s="9"/>
      <c r="I11" s="10" t="str">
        <f>IF(ISNUMBER(O11),ROUND(O11*VLOOKUP(E11,HINHTHUC_DETAI_LOOKUP,2,FALSE),1),"")</f>
        <v/>
      </c>
      <c r="J11" s="10">
        <f>IF(F11&lt;&gt;"",VLOOKUP(F11,THUKY_LOOKUP,2,FALSE),0)</f>
        <v>1</v>
      </c>
      <c r="K11" s="10">
        <f>IF(E11&lt;&gt;"",VLOOKUP(E11,HINHTHUC_DETAI_LOOKUP,3,FALSE),0)</f>
        <v>0</v>
      </c>
      <c r="L11" s="10" t="b">
        <f t="shared" si="0"/>
        <v>1</v>
      </c>
      <c r="M11" s="50" t="b">
        <f t="shared" si="1"/>
        <v>0</v>
      </c>
      <c r="N11" s="128">
        <f t="shared" si="2"/>
        <v>6</v>
      </c>
      <c r="O11" s="133" t="str">
        <f t="shared" si="3"/>
        <v/>
      </c>
      <c r="P11" s="37" t="str">
        <f>IF(M11,GIOCHUAN_HTQT*H11,"")</f>
        <v/>
      </c>
    </row>
    <row r="12" spans="1:18" ht="39.950000000000003" customHeight="1" x14ac:dyDescent="0.25">
      <c r="A12" s="12">
        <v>3</v>
      </c>
      <c r="B12" s="25"/>
      <c r="C12" s="25"/>
      <c r="D12" s="102"/>
      <c r="E12" s="9"/>
      <c r="F12" s="9" t="s">
        <v>200</v>
      </c>
      <c r="G12" s="9"/>
      <c r="H12" s="9"/>
      <c r="I12" s="10" t="str">
        <f>IF(ISNUMBER(O12),ROUND(O12*VLOOKUP(E12,HINHTHUC_DETAI_LOOKUP,2,FALSE),1),"")</f>
        <v/>
      </c>
      <c r="J12" s="10">
        <f>IF(F12&lt;&gt;"",VLOOKUP(F12,THUKY_LOOKUP,2,FALSE),0)</f>
        <v>1</v>
      </c>
      <c r="K12" s="10">
        <f>IF(E12&lt;&gt;"",VLOOKUP(E12,HINHTHUC_DETAI_LOOKUP,3,FALSE),0)</f>
        <v>0</v>
      </c>
      <c r="L12" s="10" t="b">
        <f t="shared" si="0"/>
        <v>1</v>
      </c>
      <c r="M12" s="50" t="b">
        <f t="shared" si="1"/>
        <v>0</v>
      </c>
      <c r="N12" s="128">
        <f t="shared" si="2"/>
        <v>6</v>
      </c>
      <c r="O12" s="133" t="str">
        <f t="shared" si="3"/>
        <v/>
      </c>
      <c r="P12" s="37" t="str">
        <f>IF(M12,GIOCHUAN_HTQT*H12,"")</f>
        <v/>
      </c>
    </row>
    <row r="13" spans="1:18" hidden="1" x14ac:dyDescent="0.25">
      <c r="A13" s="145"/>
      <c r="B13" s="140"/>
      <c r="C13" s="140"/>
      <c r="D13" s="140"/>
      <c r="E13" s="140"/>
      <c r="F13" s="140"/>
      <c r="G13" s="141"/>
      <c r="H13" s="141"/>
      <c r="I13" s="139">
        <f>SUM(I10:I12)</f>
        <v>0</v>
      </c>
      <c r="J13" s="139"/>
      <c r="K13" s="139"/>
      <c r="L13" s="139"/>
      <c r="M13" s="139"/>
      <c r="N13" s="142"/>
      <c r="O13" s="143"/>
      <c r="P13" s="144"/>
    </row>
    <row r="14" spans="1:18" ht="20.100000000000001" customHeight="1" x14ac:dyDescent="0.25">
      <c r="A14" s="62" t="s">
        <v>81</v>
      </c>
      <c r="B14" s="26"/>
      <c r="C14" s="26"/>
      <c r="D14" s="26"/>
      <c r="E14" s="26"/>
      <c r="F14" s="26"/>
      <c r="G14" s="26"/>
      <c r="H14" s="26"/>
      <c r="I14" s="10"/>
      <c r="J14" s="10"/>
      <c r="K14" s="10"/>
      <c r="L14" s="10"/>
      <c r="M14" s="50"/>
      <c r="N14" s="128"/>
      <c r="O14" s="133"/>
      <c r="P14" s="37"/>
    </row>
    <row r="15" spans="1:18" ht="39.950000000000003" customHeight="1" x14ac:dyDescent="0.25">
      <c r="A15" s="12">
        <v>1</v>
      </c>
      <c r="B15" s="25"/>
      <c r="C15" s="25"/>
      <c r="D15" s="102"/>
      <c r="E15" s="9"/>
      <c r="F15" s="9" t="s">
        <v>200</v>
      </c>
      <c r="G15" s="9"/>
      <c r="H15" s="9"/>
      <c r="I15" s="10" t="str">
        <f t="shared" ref="I15:I22" si="4">IF(ISNUMBER(O15),ROUND(O15*VLOOKUP(E15,HINHTHUC_DETAI_LOOKUP,2,FALSE),1),"")</f>
        <v/>
      </c>
      <c r="J15" s="10">
        <f t="shared" ref="J15:J22" si="5">IF(F15&lt;&gt;"",VLOOKUP(F15,THUKY_LOOKUP,2,FALSE),0)</f>
        <v>1</v>
      </c>
      <c r="K15" s="10">
        <f t="shared" ref="K15:K22" si="6">IF(E15&lt;&gt;"",VLOOKUP(E15,HINHTHUC_DETAI_LOOKUP,3,FALSE),0)</f>
        <v>0</v>
      </c>
      <c r="L15" s="10" t="b">
        <f t="shared" si="0"/>
        <v>1</v>
      </c>
      <c r="M15" s="50" t="b">
        <f t="shared" si="1"/>
        <v>0</v>
      </c>
      <c r="N15" s="128">
        <f t="shared" si="2"/>
        <v>6</v>
      </c>
      <c r="O15" s="133" t="str">
        <f t="shared" si="3"/>
        <v/>
      </c>
      <c r="P15" s="37" t="str">
        <f t="shared" ref="P15:P22" si="7">IF(M15,GIOCHUAN_BO*H15,"")</f>
        <v/>
      </c>
    </row>
    <row r="16" spans="1:18" ht="39.950000000000003" customHeight="1" x14ac:dyDescent="0.25">
      <c r="A16" s="12">
        <v>2</v>
      </c>
      <c r="B16" s="25"/>
      <c r="C16" s="25"/>
      <c r="D16" s="102"/>
      <c r="E16" s="9"/>
      <c r="F16" s="9" t="s">
        <v>200</v>
      </c>
      <c r="G16" s="9"/>
      <c r="H16" s="9"/>
      <c r="I16" s="10" t="str">
        <f t="shared" si="4"/>
        <v/>
      </c>
      <c r="J16" s="10">
        <f t="shared" si="5"/>
        <v>1</v>
      </c>
      <c r="K16" s="10">
        <f t="shared" si="6"/>
        <v>0</v>
      </c>
      <c r="L16" s="10" t="b">
        <f t="shared" si="0"/>
        <v>1</v>
      </c>
      <c r="M16" s="50" t="b">
        <f t="shared" si="1"/>
        <v>0</v>
      </c>
      <c r="N16" s="128">
        <f t="shared" si="2"/>
        <v>6</v>
      </c>
      <c r="O16" s="133" t="str">
        <f t="shared" si="3"/>
        <v/>
      </c>
      <c r="P16" s="37" t="str">
        <f t="shared" si="7"/>
        <v/>
      </c>
    </row>
    <row r="17" spans="1:16" ht="39.950000000000003" customHeight="1" x14ac:dyDescent="0.25">
      <c r="A17" s="12">
        <v>3</v>
      </c>
      <c r="B17" s="25"/>
      <c r="C17" s="25"/>
      <c r="D17" s="102"/>
      <c r="E17" s="9"/>
      <c r="F17" s="9" t="s">
        <v>200</v>
      </c>
      <c r="G17" s="9"/>
      <c r="H17" s="9"/>
      <c r="I17" s="10" t="str">
        <f t="shared" si="4"/>
        <v/>
      </c>
      <c r="J17" s="10">
        <f t="shared" si="5"/>
        <v>1</v>
      </c>
      <c r="K17" s="10">
        <f t="shared" si="6"/>
        <v>0</v>
      </c>
      <c r="L17" s="10" t="b">
        <f t="shared" si="0"/>
        <v>1</v>
      </c>
      <c r="M17" s="50" t="b">
        <f t="shared" si="1"/>
        <v>0</v>
      </c>
      <c r="N17" s="128">
        <f t="shared" si="2"/>
        <v>6</v>
      </c>
      <c r="O17" s="133" t="str">
        <f t="shared" si="3"/>
        <v/>
      </c>
      <c r="P17" s="37" t="str">
        <f t="shared" si="7"/>
        <v/>
      </c>
    </row>
    <row r="18" spans="1:16" ht="39.950000000000003" customHeight="1" x14ac:dyDescent="0.25">
      <c r="A18" s="12">
        <v>4</v>
      </c>
      <c r="B18" s="25"/>
      <c r="C18" s="25"/>
      <c r="D18" s="102"/>
      <c r="E18" s="9"/>
      <c r="F18" s="9" t="s">
        <v>200</v>
      </c>
      <c r="G18" s="9"/>
      <c r="H18" s="9"/>
      <c r="I18" s="10" t="str">
        <f t="shared" si="4"/>
        <v/>
      </c>
      <c r="J18" s="10">
        <f t="shared" si="5"/>
        <v>1</v>
      </c>
      <c r="K18" s="10">
        <f t="shared" si="6"/>
        <v>0</v>
      </c>
      <c r="L18" s="10" t="b">
        <f t="shared" si="0"/>
        <v>1</v>
      </c>
      <c r="M18" s="50" t="b">
        <f t="shared" si="1"/>
        <v>0</v>
      </c>
      <c r="N18" s="128">
        <f t="shared" si="2"/>
        <v>6</v>
      </c>
      <c r="O18" s="133" t="str">
        <f t="shared" si="3"/>
        <v/>
      </c>
      <c r="P18" s="37" t="str">
        <f t="shared" si="7"/>
        <v/>
      </c>
    </row>
    <row r="19" spans="1:16" ht="39.950000000000003" customHeight="1" x14ac:dyDescent="0.25">
      <c r="A19" s="12">
        <v>5</v>
      </c>
      <c r="B19" s="25"/>
      <c r="C19" s="25"/>
      <c r="D19" s="102"/>
      <c r="E19" s="9"/>
      <c r="F19" s="9" t="s">
        <v>200</v>
      </c>
      <c r="G19" s="9"/>
      <c r="H19" s="9"/>
      <c r="I19" s="10" t="str">
        <f t="shared" si="4"/>
        <v/>
      </c>
      <c r="J19" s="10">
        <f t="shared" si="5"/>
        <v>1</v>
      </c>
      <c r="K19" s="10">
        <f t="shared" si="6"/>
        <v>0</v>
      </c>
      <c r="L19" s="10" t="b">
        <f t="shared" si="0"/>
        <v>1</v>
      </c>
      <c r="M19" s="50" t="b">
        <f t="shared" si="1"/>
        <v>0</v>
      </c>
      <c r="N19" s="128">
        <f t="shared" si="2"/>
        <v>6</v>
      </c>
      <c r="O19" s="133" t="str">
        <f t="shared" si="3"/>
        <v/>
      </c>
      <c r="P19" s="37" t="str">
        <f t="shared" si="7"/>
        <v/>
      </c>
    </row>
    <row r="20" spans="1:16" ht="39.950000000000003" customHeight="1" x14ac:dyDescent="0.25">
      <c r="A20" s="12">
        <v>6</v>
      </c>
      <c r="B20" s="25"/>
      <c r="C20" s="25"/>
      <c r="D20" s="102"/>
      <c r="E20" s="9"/>
      <c r="F20" s="9" t="s">
        <v>200</v>
      </c>
      <c r="G20" s="9"/>
      <c r="H20" s="9"/>
      <c r="I20" s="10" t="str">
        <f t="shared" si="4"/>
        <v/>
      </c>
      <c r="J20" s="10">
        <f t="shared" si="5"/>
        <v>1</v>
      </c>
      <c r="K20" s="10">
        <f t="shared" si="6"/>
        <v>0</v>
      </c>
      <c r="L20" s="10" t="b">
        <f t="shared" si="0"/>
        <v>1</v>
      </c>
      <c r="M20" s="50" t="b">
        <f t="shared" si="1"/>
        <v>0</v>
      </c>
      <c r="N20" s="128">
        <f t="shared" si="2"/>
        <v>6</v>
      </c>
      <c r="O20" s="133" t="str">
        <f t="shared" si="3"/>
        <v/>
      </c>
      <c r="P20" s="37" t="str">
        <f t="shared" si="7"/>
        <v/>
      </c>
    </row>
    <row r="21" spans="1:16" ht="39.950000000000003" customHeight="1" x14ac:dyDescent="0.25">
      <c r="A21" s="12">
        <v>7</v>
      </c>
      <c r="B21" s="25"/>
      <c r="C21" s="25"/>
      <c r="D21" s="102"/>
      <c r="E21" s="9"/>
      <c r="F21" s="9" t="s">
        <v>200</v>
      </c>
      <c r="G21" s="9"/>
      <c r="H21" s="9"/>
      <c r="I21" s="10" t="str">
        <f t="shared" si="4"/>
        <v/>
      </c>
      <c r="J21" s="10">
        <f t="shared" si="5"/>
        <v>1</v>
      </c>
      <c r="K21" s="10">
        <f t="shared" si="6"/>
        <v>0</v>
      </c>
      <c r="L21" s="10" t="b">
        <f t="shared" si="0"/>
        <v>1</v>
      </c>
      <c r="M21" s="50" t="b">
        <f t="shared" si="1"/>
        <v>0</v>
      </c>
      <c r="N21" s="128">
        <f t="shared" si="2"/>
        <v>6</v>
      </c>
      <c r="O21" s="133" t="str">
        <f t="shared" si="3"/>
        <v/>
      </c>
      <c r="P21" s="37" t="str">
        <f t="shared" si="7"/>
        <v/>
      </c>
    </row>
    <row r="22" spans="1:16" ht="39.950000000000003" customHeight="1" x14ac:dyDescent="0.25">
      <c r="A22" s="12">
        <v>8</v>
      </c>
      <c r="B22" s="25"/>
      <c r="C22" s="25"/>
      <c r="D22" s="102"/>
      <c r="E22" s="9"/>
      <c r="F22" s="9" t="s">
        <v>200</v>
      </c>
      <c r="G22" s="9"/>
      <c r="H22" s="9"/>
      <c r="I22" s="10" t="str">
        <f t="shared" si="4"/>
        <v/>
      </c>
      <c r="J22" s="10">
        <f t="shared" si="5"/>
        <v>1</v>
      </c>
      <c r="K22" s="10">
        <f t="shared" si="6"/>
        <v>0</v>
      </c>
      <c r="L22" s="10" t="b">
        <f t="shared" si="0"/>
        <v>1</v>
      </c>
      <c r="M22" s="50" t="b">
        <f t="shared" si="1"/>
        <v>0</v>
      </c>
      <c r="N22" s="128">
        <f t="shared" si="2"/>
        <v>6</v>
      </c>
      <c r="O22" s="133" t="str">
        <f t="shared" si="3"/>
        <v/>
      </c>
      <c r="P22" s="37" t="str">
        <f t="shared" si="7"/>
        <v/>
      </c>
    </row>
    <row r="23" spans="1:16" hidden="1" x14ac:dyDescent="0.25">
      <c r="A23" s="145"/>
      <c r="B23" s="140"/>
      <c r="C23" s="140"/>
      <c r="D23" s="140"/>
      <c r="E23" s="140"/>
      <c r="F23" s="140"/>
      <c r="G23" s="141"/>
      <c r="H23" s="141"/>
      <c r="I23" s="139">
        <f>SUM(I15:I22)</f>
        <v>0</v>
      </c>
      <c r="J23" s="139"/>
      <c r="K23" s="139"/>
      <c r="L23" s="139"/>
      <c r="M23" s="139"/>
      <c r="N23" s="142"/>
      <c r="O23" s="143"/>
      <c r="P23" s="144"/>
    </row>
    <row r="24" spans="1:16" ht="20.100000000000001" customHeight="1" x14ac:dyDescent="0.25">
      <c r="A24" s="62" t="s">
        <v>141</v>
      </c>
      <c r="B24" s="110"/>
      <c r="C24" s="110"/>
      <c r="D24" s="110"/>
      <c r="E24" s="110"/>
      <c r="F24" s="110"/>
      <c r="G24" s="110"/>
      <c r="H24" s="110"/>
      <c r="I24" s="10"/>
      <c r="J24" s="10"/>
      <c r="K24" s="10"/>
      <c r="L24" s="10"/>
      <c r="M24" s="50"/>
      <c r="N24" s="128"/>
      <c r="O24" s="133"/>
      <c r="P24" s="37"/>
    </row>
    <row r="25" spans="1:16" ht="39.950000000000003" customHeight="1" x14ac:dyDescent="0.25">
      <c r="A25" s="111">
        <v>1</v>
      </c>
      <c r="B25" s="25"/>
      <c r="C25" s="25"/>
      <c r="D25" s="25"/>
      <c r="E25" s="25"/>
      <c r="F25" s="25" t="s">
        <v>200</v>
      </c>
      <c r="G25" s="25"/>
      <c r="H25" s="25"/>
      <c r="I25" s="10" t="str">
        <f>IF(ISNUMBER(O25),ROUND(O25*VLOOKUP(E25,HINHTHUC_DETAI_LOOKUP,2,FALSE),1),"")</f>
        <v/>
      </c>
      <c r="J25" s="10">
        <f>IF(F25&lt;&gt;"",VLOOKUP(F25,THUKY_LOOKUP,2,FALSE),0)</f>
        <v>1</v>
      </c>
      <c r="K25" s="10">
        <f>IF(E25&lt;&gt;"",VLOOKUP(E25,HINHTHUC_DETAI_LOOKUP,3,FALSE),0)</f>
        <v>0</v>
      </c>
      <c r="L25" s="10" t="b">
        <f t="shared" si="0"/>
        <v>1</v>
      </c>
      <c r="M25" s="50" t="b">
        <f t="shared" si="1"/>
        <v>0</v>
      </c>
      <c r="N25" s="128">
        <f t="shared" si="2"/>
        <v>6</v>
      </c>
      <c r="O25" s="133" t="str">
        <f t="shared" si="3"/>
        <v/>
      </c>
      <c r="P25" s="37" t="str">
        <f>IF(M25,GIOCHUAN_TP*H25,"")</f>
        <v/>
      </c>
    </row>
    <row r="26" spans="1:16" ht="39.950000000000003" customHeight="1" x14ac:dyDescent="0.25">
      <c r="A26" s="111">
        <v>2</v>
      </c>
      <c r="B26" s="25"/>
      <c r="C26" s="25"/>
      <c r="D26" s="25"/>
      <c r="E26" s="25"/>
      <c r="F26" s="25" t="s">
        <v>200</v>
      </c>
      <c r="G26" s="25"/>
      <c r="H26" s="25"/>
      <c r="I26" s="10" t="str">
        <f>IF(ISNUMBER(O26),ROUND(O26*VLOOKUP(E26,HINHTHUC_DETAI_LOOKUP,2,FALSE),1),"")</f>
        <v/>
      </c>
      <c r="J26" s="10">
        <f>IF(F26&lt;&gt;"",VLOOKUP(F26,THUKY_LOOKUP,2,FALSE),0)</f>
        <v>1</v>
      </c>
      <c r="K26" s="10">
        <f>IF(E26&lt;&gt;"",VLOOKUP(E26,HINHTHUC_DETAI_LOOKUP,3,FALSE),0)</f>
        <v>0</v>
      </c>
      <c r="L26" s="10" t="b">
        <f t="shared" si="0"/>
        <v>1</v>
      </c>
      <c r="M26" s="50" t="b">
        <f t="shared" si="1"/>
        <v>0</v>
      </c>
      <c r="N26" s="128">
        <f t="shared" si="2"/>
        <v>6</v>
      </c>
      <c r="O26" s="133" t="str">
        <f t="shared" si="3"/>
        <v/>
      </c>
      <c r="P26" s="37" t="str">
        <f>IF(M26,GIOCHUAN_TP*H26,"")</f>
        <v/>
      </c>
    </row>
    <row r="27" spans="1:16" ht="39.950000000000003" customHeight="1" x14ac:dyDescent="0.25">
      <c r="A27" s="111">
        <v>3</v>
      </c>
      <c r="B27" s="25"/>
      <c r="C27" s="25"/>
      <c r="D27" s="25"/>
      <c r="E27" s="25"/>
      <c r="F27" s="25" t="s">
        <v>200</v>
      </c>
      <c r="G27" s="25"/>
      <c r="H27" s="25"/>
      <c r="I27" s="10" t="str">
        <f>IF(ISNUMBER(O27),ROUND(O27*VLOOKUP(E27,HINHTHUC_DETAI_LOOKUP,2,FALSE),1),"")</f>
        <v/>
      </c>
      <c r="J27" s="10">
        <f>IF(F27&lt;&gt;"",VLOOKUP(F27,THUKY_LOOKUP,2,FALSE),0)</f>
        <v>1</v>
      </c>
      <c r="K27" s="10">
        <f>IF(E27&lt;&gt;"",VLOOKUP(E27,HINHTHUC_DETAI_LOOKUP,3,FALSE),0)</f>
        <v>0</v>
      </c>
      <c r="L27" s="10" t="b">
        <f t="shared" si="0"/>
        <v>1</v>
      </c>
      <c r="M27" s="50" t="b">
        <f t="shared" si="1"/>
        <v>0</v>
      </c>
      <c r="N27" s="128">
        <f t="shared" si="2"/>
        <v>6</v>
      </c>
      <c r="O27" s="133" t="str">
        <f t="shared" si="3"/>
        <v/>
      </c>
      <c r="P27" s="37" t="str">
        <f>IF(M27,GIOCHUAN_TP*H27,"")</f>
        <v/>
      </c>
    </row>
    <row r="28" spans="1:16" ht="39.950000000000003" customHeight="1" x14ac:dyDescent="0.25">
      <c r="A28" s="111">
        <v>4</v>
      </c>
      <c r="B28" s="25"/>
      <c r="C28" s="25"/>
      <c r="D28" s="25"/>
      <c r="E28" s="25"/>
      <c r="F28" s="25" t="s">
        <v>200</v>
      </c>
      <c r="G28" s="25"/>
      <c r="H28" s="25"/>
      <c r="I28" s="10" t="str">
        <f>IF(ISNUMBER(O28),ROUND(O28*VLOOKUP(E28,HINHTHUC_DETAI_LOOKUP,2,FALSE),1),"")</f>
        <v/>
      </c>
      <c r="J28" s="10">
        <f>IF(F28&lt;&gt;"",VLOOKUP(F28,THUKY_LOOKUP,2,FALSE),0)</f>
        <v>1</v>
      </c>
      <c r="K28" s="10">
        <f>IF(E28&lt;&gt;"",VLOOKUP(E28,HINHTHUC_DETAI_LOOKUP,3,FALSE),0)</f>
        <v>0</v>
      </c>
      <c r="L28" s="10" t="b">
        <f t="shared" si="0"/>
        <v>1</v>
      </c>
      <c r="M28" s="50" t="b">
        <f t="shared" si="1"/>
        <v>0</v>
      </c>
      <c r="N28" s="128">
        <f t="shared" si="2"/>
        <v>6</v>
      </c>
      <c r="O28" s="133" t="str">
        <f t="shared" si="3"/>
        <v/>
      </c>
      <c r="P28" s="37" t="str">
        <f>IF(M28,GIOCHUAN_TP*H28,"")</f>
        <v/>
      </c>
    </row>
    <row r="29" spans="1:16" hidden="1" x14ac:dyDescent="0.25">
      <c r="A29" s="146"/>
      <c r="B29" s="146"/>
      <c r="C29" s="146"/>
      <c r="D29" s="146"/>
      <c r="E29" s="146"/>
      <c r="F29" s="146"/>
      <c r="G29" s="146"/>
      <c r="H29" s="146"/>
      <c r="I29" s="139">
        <f>SUM(I25:I28)</f>
        <v>0</v>
      </c>
      <c r="J29" s="139"/>
      <c r="K29" s="139"/>
      <c r="L29" s="139"/>
      <c r="M29" s="139"/>
      <c r="N29" s="142"/>
      <c r="O29" s="143"/>
      <c r="P29" s="144"/>
    </row>
    <row r="30" spans="1:16" ht="20.100000000000001" customHeight="1" x14ac:dyDescent="0.25">
      <c r="A30" s="62" t="s">
        <v>163</v>
      </c>
      <c r="B30" s="26"/>
      <c r="C30" s="26"/>
      <c r="D30" s="26"/>
      <c r="E30" s="26"/>
      <c r="F30" s="26"/>
      <c r="G30" s="26"/>
      <c r="H30" s="26"/>
      <c r="I30" s="10"/>
      <c r="J30" s="10"/>
      <c r="K30" s="10"/>
      <c r="L30" s="10"/>
      <c r="M30" s="50"/>
      <c r="N30" s="128"/>
      <c r="O30" s="133"/>
      <c r="P30" s="37"/>
    </row>
    <row r="31" spans="1:16" ht="39.950000000000003" customHeight="1" x14ac:dyDescent="0.25">
      <c r="A31" s="12">
        <v>1</v>
      </c>
      <c r="B31" s="25"/>
      <c r="C31" s="151" t="s">
        <v>212</v>
      </c>
      <c r="D31" s="113"/>
      <c r="E31" s="9"/>
      <c r="F31" s="9" t="s">
        <v>200</v>
      </c>
      <c r="G31" s="9"/>
      <c r="H31" s="9"/>
      <c r="I31" s="10" t="str">
        <f>IF(ISNUMBER(O31),ROUND(O31*VLOOKUP(E31,HINHTHUC_DETAI_LOOKUP,2,FALSE),1),"")</f>
        <v/>
      </c>
      <c r="J31" s="10">
        <f>IF(F31&lt;&gt;"",VLOOKUP(F31,THUKY_LOOKUP,2,FALSE),0)</f>
        <v>1</v>
      </c>
      <c r="K31" s="10">
        <f>IF(E31&lt;&gt;"",VLOOKUP(E31,HINHTHUC_DETAI_LOOKUP,3,FALSE),0)</f>
        <v>0</v>
      </c>
      <c r="L31" s="10" t="b">
        <f t="shared" si="0"/>
        <v>1</v>
      </c>
      <c r="M31" s="50" t="b">
        <f t="shared" si="1"/>
        <v>0</v>
      </c>
      <c r="N31" s="128">
        <f t="shared" si="2"/>
        <v>6</v>
      </c>
      <c r="O31" s="133" t="str">
        <f t="shared" si="3"/>
        <v/>
      </c>
      <c r="P31" s="37" t="str">
        <f>IF(M31,GIOCHUAN_DHH*H31,"")</f>
        <v/>
      </c>
    </row>
    <row r="32" spans="1:16" ht="39.950000000000003" customHeight="1" x14ac:dyDescent="0.25">
      <c r="A32" s="12">
        <v>2</v>
      </c>
      <c r="B32" s="25"/>
      <c r="C32" s="151" t="s">
        <v>212</v>
      </c>
      <c r="D32" s="113"/>
      <c r="E32" s="9"/>
      <c r="F32" s="9" t="s">
        <v>200</v>
      </c>
      <c r="G32" s="9"/>
      <c r="H32" s="9"/>
      <c r="I32" s="10" t="str">
        <f>IF(ISNUMBER(O32),ROUND(O32*VLOOKUP(E32,HINHTHUC_DETAI_LOOKUP,2,FALSE),1),"")</f>
        <v/>
      </c>
      <c r="J32" s="10">
        <f>IF(F32&lt;&gt;"",VLOOKUP(F32,THUKY_LOOKUP,2,FALSE),0)</f>
        <v>1</v>
      </c>
      <c r="K32" s="10">
        <f>IF(E32&lt;&gt;"",VLOOKUP(E32,HINHTHUC_DETAI_LOOKUP,3,FALSE),0)</f>
        <v>0</v>
      </c>
      <c r="L32" s="10" t="b">
        <f t="shared" si="0"/>
        <v>1</v>
      </c>
      <c r="M32" s="50" t="b">
        <f t="shared" si="1"/>
        <v>0</v>
      </c>
      <c r="N32" s="128">
        <f t="shared" si="2"/>
        <v>6</v>
      </c>
      <c r="O32" s="133" t="str">
        <f t="shared" si="3"/>
        <v/>
      </c>
      <c r="P32" s="37" t="str">
        <f>IF(M32,GIOCHUAN_DHH*H32,"")</f>
        <v/>
      </c>
    </row>
    <row r="33" spans="1:16" ht="39.950000000000003" customHeight="1" x14ac:dyDescent="0.25">
      <c r="A33" s="12">
        <v>3</v>
      </c>
      <c r="B33" s="25"/>
      <c r="C33" s="151" t="s">
        <v>212</v>
      </c>
      <c r="D33" s="113"/>
      <c r="E33" s="9"/>
      <c r="F33" s="9" t="s">
        <v>200</v>
      </c>
      <c r="G33" s="9"/>
      <c r="H33" s="9"/>
      <c r="I33" s="10" t="str">
        <f>IF(ISNUMBER(O33),ROUND(O33*VLOOKUP(E33,HINHTHUC_DETAI_LOOKUP,2,FALSE),1),"")</f>
        <v/>
      </c>
      <c r="J33" s="10">
        <f>IF(F33&lt;&gt;"",VLOOKUP(F33,THUKY_LOOKUP,2,FALSE),0)</f>
        <v>1</v>
      </c>
      <c r="K33" s="10">
        <f>IF(E33&lt;&gt;"",VLOOKUP(E33,HINHTHUC_DETAI_LOOKUP,3,FALSE),0)</f>
        <v>0</v>
      </c>
      <c r="L33" s="10" t="b">
        <f t="shared" si="0"/>
        <v>1</v>
      </c>
      <c r="M33" s="50" t="b">
        <f t="shared" si="1"/>
        <v>0</v>
      </c>
      <c r="N33" s="128">
        <f t="shared" si="2"/>
        <v>6</v>
      </c>
      <c r="O33" s="133" t="str">
        <f t="shared" si="3"/>
        <v/>
      </c>
      <c r="P33" s="37" t="str">
        <f>IF(M33,GIOCHUAN_DHH*H33,"")</f>
        <v/>
      </c>
    </row>
    <row r="34" spans="1:16" ht="39.950000000000003" customHeight="1" x14ac:dyDescent="0.25">
      <c r="A34" s="12">
        <v>4</v>
      </c>
      <c r="B34" s="25"/>
      <c r="C34" s="151" t="s">
        <v>212</v>
      </c>
      <c r="D34" s="113"/>
      <c r="E34" s="9"/>
      <c r="F34" s="9" t="s">
        <v>200</v>
      </c>
      <c r="G34" s="9"/>
      <c r="H34" s="9"/>
      <c r="I34" s="10" t="str">
        <f>IF(ISNUMBER(O34),ROUND(O34*VLOOKUP(E34,HINHTHUC_DETAI_LOOKUP,2,FALSE),1),"")</f>
        <v/>
      </c>
      <c r="J34" s="10">
        <f>IF(F34&lt;&gt;"",VLOOKUP(F34,THUKY_LOOKUP,2,FALSE),0)</f>
        <v>1</v>
      </c>
      <c r="K34" s="10">
        <f>IF(E34&lt;&gt;"",VLOOKUP(E34,HINHTHUC_DETAI_LOOKUP,3,FALSE),0)</f>
        <v>0</v>
      </c>
      <c r="L34" s="10" t="b">
        <f t="shared" si="0"/>
        <v>1</v>
      </c>
      <c r="M34" s="50" t="b">
        <f t="shared" si="1"/>
        <v>0</v>
      </c>
      <c r="N34" s="128">
        <f t="shared" si="2"/>
        <v>6</v>
      </c>
      <c r="O34" s="133" t="str">
        <f t="shared" si="3"/>
        <v/>
      </c>
      <c r="P34" s="37" t="str">
        <f>IF(M34,GIOCHUAN_DHH*H34,"")</f>
        <v/>
      </c>
    </row>
    <row r="35" spans="1:16" ht="39.950000000000003" customHeight="1" x14ac:dyDescent="0.25">
      <c r="A35" s="12">
        <v>5</v>
      </c>
      <c r="B35" s="25"/>
      <c r="C35" s="151" t="s">
        <v>212</v>
      </c>
      <c r="D35" s="113"/>
      <c r="E35" s="9"/>
      <c r="F35" s="9" t="s">
        <v>200</v>
      </c>
      <c r="G35" s="9"/>
      <c r="H35" s="9"/>
      <c r="I35" s="10" t="str">
        <f>IF(ISNUMBER(O35),ROUND(O35*VLOOKUP(E35,HINHTHUC_DETAI_LOOKUP,2,FALSE),1),"")</f>
        <v/>
      </c>
      <c r="J35" s="10">
        <f>IF(F35&lt;&gt;"",VLOOKUP(F35,THUKY_LOOKUP,2,FALSE),0)</f>
        <v>1</v>
      </c>
      <c r="K35" s="10">
        <f>IF(E35&lt;&gt;"",VLOOKUP(E35,HINHTHUC_DETAI_LOOKUP,3,FALSE),0)</f>
        <v>0</v>
      </c>
      <c r="L35" s="10" t="b">
        <f t="shared" si="0"/>
        <v>1</v>
      </c>
      <c r="M35" s="50" t="b">
        <f t="shared" si="1"/>
        <v>0</v>
      </c>
      <c r="N35" s="128">
        <f t="shared" si="2"/>
        <v>6</v>
      </c>
      <c r="O35" s="133" t="str">
        <f t="shared" si="3"/>
        <v/>
      </c>
      <c r="P35" s="37" t="str">
        <f>IF(M35,GIOCHUAN_DHH*H35,"")</f>
        <v/>
      </c>
    </row>
    <row r="36" spans="1:16" hidden="1" x14ac:dyDescent="0.25">
      <c r="A36" s="145"/>
      <c r="B36" s="140"/>
      <c r="C36" s="140"/>
      <c r="D36" s="140"/>
      <c r="E36" s="140"/>
      <c r="F36" s="140"/>
      <c r="G36" s="141"/>
      <c r="H36" s="141"/>
      <c r="I36" s="139">
        <f>SUM(I31:I35)</f>
        <v>0</v>
      </c>
      <c r="J36" s="140"/>
      <c r="K36" s="140"/>
      <c r="L36" s="140"/>
      <c r="M36" s="139"/>
      <c r="N36" s="142"/>
      <c r="O36" s="143"/>
      <c r="P36" s="144"/>
    </row>
    <row r="37" spans="1:16" ht="20.100000000000001" customHeight="1" x14ac:dyDescent="0.25">
      <c r="A37" s="62" t="s">
        <v>142</v>
      </c>
      <c r="B37" s="26"/>
      <c r="C37" s="26"/>
      <c r="D37" s="26"/>
      <c r="E37" s="26"/>
      <c r="F37" s="26"/>
      <c r="G37" s="26"/>
      <c r="H37" s="26"/>
      <c r="I37" s="10"/>
      <c r="J37" s="96"/>
      <c r="K37" s="96"/>
      <c r="L37" s="96"/>
      <c r="M37" s="50"/>
      <c r="N37" s="128"/>
      <c r="O37" s="133"/>
      <c r="P37" s="37"/>
    </row>
    <row r="38" spans="1:16" ht="39.950000000000003" customHeight="1" x14ac:dyDescent="0.25">
      <c r="A38" s="12">
        <v>1</v>
      </c>
      <c r="B38" s="25"/>
      <c r="C38" s="152" t="s">
        <v>213</v>
      </c>
      <c r="D38" s="112"/>
      <c r="E38" s="9"/>
      <c r="F38" s="153" t="s">
        <v>201</v>
      </c>
      <c r="G38" s="9"/>
      <c r="H38" s="9"/>
      <c r="I38" s="10" t="str">
        <f>IF(ISNUMBER(O38),ROUND(O38*VLOOKUP(E38,HINHTHUC_DETAI_2_LOOKUP,2,FALSE),1),"")</f>
        <v/>
      </c>
      <c r="J38" s="10"/>
      <c r="K38" s="10"/>
      <c r="L38" s="10"/>
      <c r="M38" s="50" t="b">
        <f>AND(B38&lt;&gt;"",D38&lt;&gt;"",E38&lt;&gt;"",G38&lt;&gt;"",H38&lt;&gt;"")</f>
        <v>0</v>
      </c>
      <c r="N38" s="128">
        <f>4+G38</f>
        <v>4</v>
      </c>
      <c r="O38" s="133" t="str">
        <f t="shared" si="3"/>
        <v/>
      </c>
      <c r="P38" s="37" t="str">
        <f>IF(M38,GIOCHUAN_DHKH*H38,"")</f>
        <v/>
      </c>
    </row>
    <row r="39" spans="1:16" ht="39.950000000000003" customHeight="1" x14ac:dyDescent="0.25">
      <c r="A39" s="12">
        <v>2</v>
      </c>
      <c r="B39" s="25"/>
      <c r="C39" s="152" t="s">
        <v>213</v>
      </c>
      <c r="D39" s="112"/>
      <c r="E39" s="9"/>
      <c r="F39" s="153" t="s">
        <v>201</v>
      </c>
      <c r="G39" s="9"/>
      <c r="H39" s="9"/>
      <c r="I39" s="10" t="str">
        <f>IF(ISNUMBER(O39),ROUND(O39*VLOOKUP(E39,HINHTHUC_DETAI_2_LOOKUP,2,FALSE),1),"")</f>
        <v/>
      </c>
      <c r="J39" s="10"/>
      <c r="K39" s="10"/>
      <c r="L39" s="10"/>
      <c r="M39" s="50" t="b">
        <f>AND(B39&lt;&gt;"",D39&lt;&gt;"",E39&lt;&gt;"",G39&lt;&gt;"",H39&lt;&gt;"")</f>
        <v>0</v>
      </c>
      <c r="N39" s="128">
        <f>4+G39</f>
        <v>4</v>
      </c>
      <c r="O39" s="133" t="str">
        <f t="shared" si="3"/>
        <v/>
      </c>
      <c r="P39" s="37" t="str">
        <f>IF(M39,GIOCHUAN_DHKH*H39,"")</f>
        <v/>
      </c>
    </row>
    <row r="40" spans="1:16" ht="39.950000000000003" customHeight="1" x14ac:dyDescent="0.25">
      <c r="A40" s="12">
        <v>3</v>
      </c>
      <c r="B40" s="25"/>
      <c r="C40" s="152" t="s">
        <v>213</v>
      </c>
      <c r="D40" s="112"/>
      <c r="E40" s="9"/>
      <c r="F40" s="153" t="s">
        <v>201</v>
      </c>
      <c r="G40" s="9"/>
      <c r="H40" s="9"/>
      <c r="I40" s="10" t="str">
        <f>IF(ISNUMBER(O40),ROUND(O40*VLOOKUP(E40,HINHTHUC_DETAI_2_LOOKUP,2,FALSE),1),"")</f>
        <v/>
      </c>
      <c r="J40" s="10"/>
      <c r="K40" s="10"/>
      <c r="L40" s="10"/>
      <c r="M40" s="50" t="b">
        <f>AND(B40&lt;&gt;"",D40&lt;&gt;"",E40&lt;&gt;"",G40&lt;&gt;"",H40&lt;&gt;"")</f>
        <v>0</v>
      </c>
      <c r="N40" s="128">
        <f>4+G40</f>
        <v>4</v>
      </c>
      <c r="O40" s="133" t="str">
        <f t="shared" si="3"/>
        <v/>
      </c>
      <c r="P40" s="37" t="str">
        <f>IF(M40,GIOCHUAN_DHKH*H40,"")</f>
        <v/>
      </c>
    </row>
    <row r="41" spans="1:16" hidden="1" x14ac:dyDescent="0.25">
      <c r="A41" s="145"/>
      <c r="B41" s="140"/>
      <c r="C41" s="140"/>
      <c r="D41" s="140"/>
      <c r="E41" s="140"/>
      <c r="F41" s="140"/>
      <c r="G41" s="141"/>
      <c r="H41" s="141"/>
      <c r="I41" s="140">
        <f>SUM(I38:I40)</f>
        <v>0</v>
      </c>
      <c r="J41" s="140"/>
      <c r="K41" s="140"/>
      <c r="L41" s="140"/>
      <c r="M41" s="139"/>
      <c r="N41" s="142"/>
      <c r="O41" s="143"/>
      <c r="P41" s="144"/>
    </row>
    <row r="42" spans="1:16" ht="20.100000000000001" customHeight="1" x14ac:dyDescent="0.25">
      <c r="A42" s="62" t="s">
        <v>143</v>
      </c>
      <c r="B42" s="26"/>
      <c r="C42" s="26"/>
      <c r="D42" s="26"/>
      <c r="E42" s="26"/>
      <c r="F42" s="26"/>
      <c r="G42" s="26"/>
      <c r="H42" s="26"/>
      <c r="I42" s="96"/>
      <c r="J42" s="96"/>
      <c r="K42" s="96"/>
      <c r="L42" s="96"/>
      <c r="M42" s="50"/>
      <c r="N42" s="128"/>
      <c r="O42" s="133"/>
      <c r="P42" s="37"/>
    </row>
    <row r="43" spans="1:16" ht="25.5" x14ac:dyDescent="0.25">
      <c r="A43" s="23" t="s">
        <v>40</v>
      </c>
      <c r="B43" s="24" t="s">
        <v>22</v>
      </c>
      <c r="C43" s="24" t="s">
        <v>162</v>
      </c>
      <c r="D43" s="24" t="s">
        <v>49</v>
      </c>
      <c r="E43" s="109" t="s">
        <v>23</v>
      </c>
      <c r="F43" s="122"/>
      <c r="G43" s="24" t="s">
        <v>24</v>
      </c>
      <c r="H43" s="24"/>
      <c r="I43" s="24" t="s">
        <v>50</v>
      </c>
      <c r="J43" s="24"/>
      <c r="K43" s="24"/>
      <c r="L43" s="24"/>
      <c r="M43" s="50"/>
      <c r="N43" s="128"/>
      <c r="O43" s="134"/>
      <c r="P43" s="46"/>
    </row>
    <row r="44" spans="1:16" ht="39.950000000000003" customHeight="1" x14ac:dyDescent="0.25">
      <c r="A44" s="12">
        <v>1</v>
      </c>
      <c r="B44" s="25"/>
      <c r="C44" s="152" t="s">
        <v>214</v>
      </c>
      <c r="D44" s="103"/>
      <c r="E44" s="9"/>
      <c r="F44" s="147" t="s">
        <v>229</v>
      </c>
      <c r="G44" s="14"/>
      <c r="H44" s="97" t="s">
        <v>48</v>
      </c>
      <c r="I44" s="10" t="str">
        <f>IF(M44,GIOCHUAN_SV,"")</f>
        <v/>
      </c>
      <c r="J44" s="10"/>
      <c r="K44" s="10"/>
      <c r="L44" s="10"/>
      <c r="M44" s="50" t="b">
        <f>AND(B44&lt;&gt;"",D44&lt;&gt;"",E44&lt;&gt;"",G44&lt;&gt;"")</f>
        <v>0</v>
      </c>
      <c r="N44" s="130"/>
      <c r="O44" s="133"/>
      <c r="P44" s="37"/>
    </row>
    <row r="45" spans="1:16" ht="39.950000000000003" customHeight="1" x14ac:dyDescent="0.25">
      <c r="A45" s="12">
        <v>2</v>
      </c>
      <c r="B45" s="25"/>
      <c r="C45" s="152" t="s">
        <v>214</v>
      </c>
      <c r="D45" s="103"/>
      <c r="E45" s="9"/>
      <c r="F45" s="147" t="s">
        <v>229</v>
      </c>
      <c r="G45" s="14"/>
      <c r="H45" s="97" t="s">
        <v>48</v>
      </c>
      <c r="I45" s="10" t="str">
        <f>IF(M45,GIOCHUAN_SV,"")</f>
        <v/>
      </c>
      <c r="J45" s="10"/>
      <c r="K45" s="10"/>
      <c r="L45" s="10"/>
      <c r="M45" s="50" t="b">
        <f>AND(B45&lt;&gt;"",D45&lt;&gt;"",E45&lt;&gt;"",G45&lt;&gt;"")</f>
        <v>0</v>
      </c>
      <c r="N45" s="128"/>
      <c r="O45" s="133"/>
      <c r="P45" s="37"/>
    </row>
    <row r="46" spans="1:16" ht="39.950000000000003" customHeight="1" x14ac:dyDescent="0.25">
      <c r="A46" s="12">
        <v>3</v>
      </c>
      <c r="B46" s="25"/>
      <c r="C46" s="152" t="s">
        <v>214</v>
      </c>
      <c r="D46" s="103"/>
      <c r="E46" s="9"/>
      <c r="F46" s="147" t="s">
        <v>229</v>
      </c>
      <c r="G46" s="14"/>
      <c r="H46" s="97" t="s">
        <v>48</v>
      </c>
      <c r="I46" s="10" t="str">
        <f>IF(M46,GIOCHUAN_SV,"")</f>
        <v/>
      </c>
      <c r="J46" s="10"/>
      <c r="K46" s="10"/>
      <c r="L46" s="10"/>
      <c r="M46" s="50" t="b">
        <f>AND(B46&lt;&gt;"",D46&lt;&gt;"",E46&lt;&gt;"",G46&lt;&gt;"")</f>
        <v>0</v>
      </c>
      <c r="N46" s="128"/>
      <c r="O46" s="133"/>
      <c r="P46" s="37"/>
    </row>
    <row r="47" spans="1:16" ht="39.950000000000003" customHeight="1" x14ac:dyDescent="0.25">
      <c r="A47" s="12">
        <v>4</v>
      </c>
      <c r="B47" s="25"/>
      <c r="C47" s="152" t="s">
        <v>214</v>
      </c>
      <c r="D47" s="103"/>
      <c r="E47" s="9"/>
      <c r="F47" s="147" t="s">
        <v>229</v>
      </c>
      <c r="G47" s="14"/>
      <c r="H47" s="97" t="s">
        <v>48</v>
      </c>
      <c r="I47" s="10" t="str">
        <f>IF(M47,GIOCHUAN_SV,"")</f>
        <v/>
      </c>
      <c r="J47" s="10"/>
      <c r="K47" s="10"/>
      <c r="L47" s="10"/>
      <c r="M47" s="50" t="b">
        <f>AND(B47&lt;&gt;"",D47&lt;&gt;"",E47&lt;&gt;"",G47&lt;&gt;"")</f>
        <v>0</v>
      </c>
      <c r="N47" s="128"/>
      <c r="O47" s="133"/>
      <c r="P47" s="37"/>
    </row>
    <row r="48" spans="1:16" ht="39.950000000000003" customHeight="1" x14ac:dyDescent="0.25">
      <c r="A48" s="12">
        <v>5</v>
      </c>
      <c r="B48" s="25"/>
      <c r="C48" s="152" t="s">
        <v>214</v>
      </c>
      <c r="D48" s="103"/>
      <c r="E48" s="14"/>
      <c r="F48" s="148" t="s">
        <v>229</v>
      </c>
      <c r="G48" s="14"/>
      <c r="H48" s="97" t="s">
        <v>48</v>
      </c>
      <c r="I48" s="10" t="str">
        <f>IF(M48,GIOCHUAN_SV,"")</f>
        <v/>
      </c>
      <c r="J48" s="10"/>
      <c r="K48" s="10"/>
      <c r="L48" s="10"/>
      <c r="M48" s="50" t="b">
        <f>AND(B48&lt;&gt;"",D48&lt;&gt;"",E48&lt;&gt;"",G48&lt;&gt;"")</f>
        <v>0</v>
      </c>
      <c r="N48" s="128"/>
      <c r="O48" s="133"/>
      <c r="P48" s="37"/>
    </row>
    <row r="49" spans="1:16" hidden="1" x14ac:dyDescent="0.25">
      <c r="A49" s="139"/>
      <c r="B49" s="140"/>
      <c r="C49" s="140"/>
      <c r="D49" s="140"/>
      <c r="E49" s="140"/>
      <c r="F49" s="140"/>
      <c r="G49" s="141"/>
      <c r="H49" s="141"/>
      <c r="I49" s="140">
        <f>SUM(I44:I48)</f>
        <v>0</v>
      </c>
      <c r="J49" s="140"/>
      <c r="K49" s="140"/>
      <c r="L49" s="140"/>
      <c r="M49" s="140"/>
      <c r="N49" s="142"/>
      <c r="O49" s="143"/>
      <c r="P49" s="144"/>
    </row>
    <row r="50" spans="1:16" ht="20.100000000000001" customHeight="1" x14ac:dyDescent="0.25">
      <c r="A50" s="136" t="s">
        <v>173</v>
      </c>
      <c r="B50" s="4"/>
      <c r="C50" s="4"/>
      <c r="D50" s="4"/>
      <c r="E50" s="4"/>
      <c r="F50" s="4"/>
      <c r="G50" s="40"/>
      <c r="H50" s="40"/>
      <c r="I50" s="4"/>
      <c r="J50" s="4"/>
      <c r="K50" s="4"/>
      <c r="L50" s="4"/>
      <c r="M50" s="51"/>
      <c r="N50" s="137"/>
      <c r="O50" s="132"/>
      <c r="P50" s="138"/>
    </row>
    <row r="51" spans="1:16" ht="25.5" x14ac:dyDescent="0.25">
      <c r="A51" s="23" t="s">
        <v>40</v>
      </c>
      <c r="B51" s="24" t="s">
        <v>86</v>
      </c>
      <c r="C51" s="24" t="s">
        <v>85</v>
      </c>
      <c r="D51" s="24" t="s">
        <v>55</v>
      </c>
      <c r="E51" s="109" t="s">
        <v>84</v>
      </c>
      <c r="F51" s="109"/>
      <c r="G51" s="24"/>
      <c r="H51" s="24"/>
      <c r="I51" s="24" t="s">
        <v>50</v>
      </c>
      <c r="J51" s="24"/>
      <c r="K51" s="24"/>
      <c r="L51" s="24"/>
      <c r="M51" s="50"/>
      <c r="N51" s="128"/>
      <c r="O51" s="134"/>
      <c r="P51" s="46"/>
    </row>
    <row r="52" spans="1:16" ht="39.950000000000003" customHeight="1" x14ac:dyDescent="0.25">
      <c r="A52" s="12">
        <v>1</v>
      </c>
      <c r="B52" s="25"/>
      <c r="C52" s="117"/>
      <c r="D52" s="103"/>
      <c r="E52" s="9"/>
      <c r="F52" s="97" t="s">
        <v>48</v>
      </c>
      <c r="G52" s="97" t="s">
        <v>48</v>
      </c>
      <c r="H52" s="97" t="s">
        <v>48</v>
      </c>
      <c r="I52" s="10" t="str">
        <f>P52</f>
        <v/>
      </c>
      <c r="J52" s="10"/>
      <c r="K52" s="10"/>
      <c r="L52" s="10"/>
      <c r="M52" s="50" t="b">
        <f>AND(B52&lt;&gt;"",C52&lt;&gt;"",D52&lt;&gt;"",E52&lt;&gt;"")</f>
        <v>0</v>
      </c>
      <c r="N52" s="128"/>
      <c r="O52" s="133"/>
      <c r="P52" s="37" t="str">
        <f>IF(M52, VLOOKUP(C52,HOPDONG_LOOKUP,2,FALSE),"")</f>
        <v/>
      </c>
    </row>
    <row r="53" spans="1:16" ht="39.950000000000003" customHeight="1" x14ac:dyDescent="0.25">
      <c r="A53" s="12">
        <v>2</v>
      </c>
      <c r="B53" s="25"/>
      <c r="C53" s="117"/>
      <c r="D53" s="103"/>
      <c r="E53" s="9"/>
      <c r="F53" s="97" t="s">
        <v>48</v>
      </c>
      <c r="G53" s="97" t="s">
        <v>48</v>
      </c>
      <c r="H53" s="97" t="s">
        <v>48</v>
      </c>
      <c r="I53" s="10" t="str">
        <f>P53</f>
        <v/>
      </c>
      <c r="J53" s="10"/>
      <c r="K53" s="10"/>
      <c r="L53" s="10"/>
      <c r="M53" s="50" t="b">
        <f>AND(B53&lt;&gt;"",C53&lt;&gt;"",D53&lt;&gt;"",E53&lt;&gt;"")</f>
        <v>0</v>
      </c>
      <c r="N53" s="128"/>
      <c r="O53" s="133"/>
      <c r="P53" s="37" t="str">
        <f>IF(M53, VLOOKUP(C53,HOPDONG_LOOKUP,2,FALSE),"")</f>
        <v/>
      </c>
    </row>
    <row r="54" spans="1:16" ht="39.950000000000003" customHeight="1" x14ac:dyDescent="0.25">
      <c r="A54" s="12">
        <v>3</v>
      </c>
      <c r="B54" s="25"/>
      <c r="C54" s="117"/>
      <c r="D54" s="103"/>
      <c r="E54" s="9"/>
      <c r="F54" s="97" t="s">
        <v>48</v>
      </c>
      <c r="G54" s="97" t="s">
        <v>48</v>
      </c>
      <c r="H54" s="97" t="s">
        <v>48</v>
      </c>
      <c r="I54" s="10" t="str">
        <f>P54</f>
        <v/>
      </c>
      <c r="J54" s="10"/>
      <c r="K54" s="10"/>
      <c r="L54" s="10"/>
      <c r="M54" s="50" t="b">
        <f>AND(B54&lt;&gt;"",C54&lt;&gt;"",D54&lt;&gt;"",E54&lt;&gt;"")</f>
        <v>0</v>
      </c>
      <c r="N54" s="128"/>
      <c r="O54" s="133"/>
      <c r="P54" s="37" t="str">
        <f>IF(M54, VLOOKUP(C54,HOPDONG_LOOKUP,2,FALSE),"")</f>
        <v/>
      </c>
    </row>
    <row r="55" spans="1:16" ht="39.950000000000003" customHeight="1" x14ac:dyDescent="0.25">
      <c r="A55" s="12">
        <v>4</v>
      </c>
      <c r="B55" s="25"/>
      <c r="C55" s="117"/>
      <c r="D55" s="103"/>
      <c r="E55" s="9"/>
      <c r="F55" s="97" t="s">
        <v>48</v>
      </c>
      <c r="G55" s="97" t="s">
        <v>48</v>
      </c>
      <c r="H55" s="97" t="s">
        <v>48</v>
      </c>
      <c r="I55" s="10" t="str">
        <f>P55</f>
        <v/>
      </c>
      <c r="J55" s="10"/>
      <c r="K55" s="10"/>
      <c r="L55" s="10"/>
      <c r="M55" s="50" t="b">
        <f>AND(B55&lt;&gt;"",C55&lt;&gt;"",D55&lt;&gt;"",E55&lt;&gt;"")</f>
        <v>0</v>
      </c>
      <c r="N55" s="128"/>
      <c r="O55" s="133"/>
      <c r="P55" s="37" t="str">
        <f>IF(M55, VLOOKUP(C55,HOPDONG_LOOKUP,2,FALSE),"")</f>
        <v/>
      </c>
    </row>
    <row r="56" spans="1:16" ht="39.950000000000003" customHeight="1" x14ac:dyDescent="0.25">
      <c r="A56" s="12">
        <v>5</v>
      </c>
      <c r="B56" s="25"/>
      <c r="C56" s="117"/>
      <c r="D56" s="103"/>
      <c r="E56" s="14"/>
      <c r="F56" s="97" t="s">
        <v>48</v>
      </c>
      <c r="G56" s="97" t="s">
        <v>48</v>
      </c>
      <c r="H56" s="97" t="s">
        <v>48</v>
      </c>
      <c r="I56" s="10" t="str">
        <f>P56</f>
        <v/>
      </c>
      <c r="J56" s="10"/>
      <c r="K56" s="10"/>
      <c r="L56" s="10"/>
      <c r="M56" s="50" t="b">
        <f>AND(B56&lt;&gt;"",C56&lt;&gt;"",D56&lt;&gt;"",E56&lt;&gt;"")</f>
        <v>0</v>
      </c>
      <c r="N56" s="128"/>
      <c r="O56" s="133"/>
      <c r="P56" s="37" t="str">
        <f>IF(M56, VLOOKUP(C56,HOPDONG_LOOKUP,2,FALSE),"")</f>
        <v/>
      </c>
    </row>
    <row r="57" spans="1:16" hidden="1" x14ac:dyDescent="0.25">
      <c r="A57" s="139"/>
      <c r="B57" s="140"/>
      <c r="C57" s="140"/>
      <c r="D57" s="140"/>
      <c r="E57" s="140"/>
      <c r="F57" s="140"/>
      <c r="G57" s="141"/>
      <c r="H57" s="141"/>
      <c r="I57" s="140">
        <f>SUM(I52:I56)</f>
        <v>0</v>
      </c>
      <c r="J57" s="140"/>
      <c r="K57" s="140"/>
      <c r="L57" s="140"/>
      <c r="M57" s="140"/>
      <c r="N57" s="142"/>
      <c r="O57" s="143"/>
      <c r="P57" s="144"/>
    </row>
    <row r="58" spans="1:16" ht="20.100000000000001" customHeight="1" x14ac:dyDescent="0.25">
      <c r="A58" s="15"/>
      <c r="B58" s="4"/>
      <c r="C58" s="4"/>
      <c r="D58" s="4"/>
      <c r="E58" s="95"/>
      <c r="F58" s="95"/>
      <c r="G58" s="15" t="s">
        <v>41</v>
      </c>
      <c r="H58" s="15"/>
      <c r="I58" s="5">
        <f>SUM_NN+SUM_HTQT+SUM_BO+SUM_TP+SUM_DHH+SUM_DHKH+SUM_SV+SUM_HOPDONG</f>
        <v>0</v>
      </c>
      <c r="J58" s="5"/>
      <c r="K58" s="5"/>
      <c r="L58" s="5"/>
      <c r="M58" s="52"/>
      <c r="O58" s="132"/>
      <c r="P58" s="44"/>
    </row>
  </sheetData>
  <sheetProtection password="F660" sheet="1" objects="1" scenarios="1" formatCells="0"/>
  <dataValidations count="7">
    <dataValidation type="whole" allowBlank="1" showInputMessage="1" showErrorMessage="1" errorTitle="Lỗi" error="Vui lòng nhập đúng số lượng thành viên tham gia (0-99)!" sqref="G31:G35 G5:G7 G10:G12 G15:G22 G38:G40 G25:G28">
      <formula1>0</formula1>
      <formula2>99</formula2>
    </dataValidation>
    <dataValidation type="list" allowBlank="1" showInputMessage="1" showErrorMessage="1" errorTitle="Lỗi" error="Vui lòng chỉ chọn các hình thức có trong danh sách" sqref="E10:E12 D8 E15:E22 D13 E25:E28 E31:E35 E5:E7 D36 D29 D41 D23:D24">
      <formula1>HINHTHUC_DETAI</formula1>
    </dataValidation>
    <dataValidation type="list" allowBlank="1" showInputMessage="1" showErrorMessage="1" errorTitle="Lỗi" error="Vui lòng chỉ chọn các giá trị có trong danh sách" sqref="C52:C56">
      <formula1>HOPDONG</formula1>
    </dataValidation>
    <dataValidation type="list" allowBlank="1" showInputMessage="1" showErrorMessage="1" errorTitle="Lỗi" error="Vui lòng chỉ chọn đúng số lượng (1-2)!" sqref="H5:H7 H10:H12 H15:H22 H31:H35 H38:H40 H25:H28">
      <formula1>SOHOCKY</formula1>
    </dataValidation>
    <dataValidation allowBlank="1" showInputMessage="1" showErrorMessage="1" errorTitle="Lỗi" error="Vui lòng chỉ chọn các hình thức có trong danh sách" sqref="D25:D28"/>
    <dataValidation type="list" allowBlank="1" showInputMessage="1" showErrorMessage="1" errorTitle="Lỗi" error="Vui lòng chỉ chọn các hình thức có trong danh sách" sqref="F25:F28 F10:F12 F5:F7 F15:F22 F31:F35">
      <formula1>THUKY</formula1>
    </dataValidation>
    <dataValidation type="list" allowBlank="1" showInputMessage="1" showErrorMessage="1" errorTitle="Lỗi" error="Vui lòng chỉ chọn các hình thức có trong danh sách" sqref="E38:E40">
      <formula1>HINHTHUC_DETAI_2</formula1>
    </dataValidation>
  </dataValidations>
  <printOptions horizontalCentered="1"/>
  <pageMargins left="0.2" right="0.2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1"/>
  <sheetViews>
    <sheetView zoomScaleNormal="100" zoomScaleSheetLayoutView="10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5.28515625" style="36" customWidth="1"/>
    <col min="2" max="2" width="37.28515625" style="36" customWidth="1"/>
    <col min="3" max="3" width="35" style="36" customWidth="1"/>
    <col min="4" max="4" width="26.85546875" style="36" customWidth="1"/>
    <col min="5" max="5" width="19" style="36" customWidth="1"/>
    <col min="6" max="6" width="12.5703125" style="36" customWidth="1"/>
    <col min="7" max="7" width="20" style="36" customWidth="1"/>
    <col min="8" max="8" width="20.5703125" style="36" customWidth="1"/>
    <col min="9" max="9" width="9.140625" style="36" customWidth="1"/>
    <col min="10" max="10" width="16.85546875" style="36" hidden="1" customWidth="1"/>
    <col min="11" max="11" width="11" style="36" hidden="1" customWidth="1"/>
    <col min="12" max="12" width="14.28515625" style="36" hidden="1" customWidth="1"/>
    <col min="13" max="13" width="17.7109375" style="36" hidden="1" customWidth="1"/>
    <col min="14" max="14" width="9.140625" style="36" hidden="1" customWidth="1"/>
    <col min="15" max="15" width="10.5703125" style="36" hidden="1" customWidth="1"/>
    <col min="16" max="16" width="12.85546875" style="36" hidden="1" customWidth="1"/>
    <col min="17" max="17" width="12.5703125" style="36" hidden="1" customWidth="1"/>
    <col min="18" max="18" width="15.140625" style="36" hidden="1" customWidth="1"/>
    <col min="19" max="19" width="8.85546875" style="36" hidden="1" customWidth="1"/>
    <col min="20" max="16384" width="9.140625" style="36"/>
  </cols>
  <sheetData>
    <row r="1" spans="1:19" x14ac:dyDescent="0.25">
      <c r="A1" s="98"/>
      <c r="B1" s="98"/>
      <c r="C1" s="98"/>
      <c r="D1" s="98"/>
      <c r="E1" s="98"/>
      <c r="F1" s="98"/>
      <c r="G1" s="98"/>
      <c r="H1" s="98"/>
      <c r="I1" s="98"/>
      <c r="J1" s="43"/>
      <c r="K1" s="43"/>
      <c r="L1" s="43"/>
      <c r="M1" s="43"/>
      <c r="N1" s="43"/>
      <c r="O1" s="43"/>
      <c r="P1" s="43"/>
      <c r="Q1" s="43"/>
      <c r="R1" s="44"/>
      <c r="S1" s="44"/>
    </row>
    <row r="2" spans="1:19" ht="24.95" customHeight="1" x14ac:dyDescent="0.25">
      <c r="A2" s="8" t="s">
        <v>74</v>
      </c>
      <c r="B2" s="1"/>
      <c r="C2" s="1"/>
      <c r="D2" s="1"/>
      <c r="E2" s="1"/>
      <c r="F2" s="1"/>
      <c r="G2" s="1"/>
      <c r="H2" s="6"/>
      <c r="I2" s="6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30" customHeight="1" x14ac:dyDescent="0.25">
      <c r="A3" s="23" t="s">
        <v>40</v>
      </c>
      <c r="B3" s="24" t="s">
        <v>46</v>
      </c>
      <c r="C3" s="24" t="s">
        <v>47</v>
      </c>
      <c r="D3" s="24" t="s">
        <v>123</v>
      </c>
      <c r="E3" s="24" t="s">
        <v>172</v>
      </c>
      <c r="F3" s="24" t="s">
        <v>37</v>
      </c>
      <c r="G3" s="24" t="s">
        <v>216</v>
      </c>
      <c r="H3" s="24" t="s">
        <v>222</v>
      </c>
      <c r="I3" s="24" t="s">
        <v>50</v>
      </c>
      <c r="J3" s="45" t="s">
        <v>218</v>
      </c>
      <c r="K3" s="45" t="s">
        <v>217</v>
      </c>
      <c r="L3" s="45" t="s">
        <v>219</v>
      </c>
      <c r="M3" s="45" t="s">
        <v>39</v>
      </c>
      <c r="N3" s="45" t="s">
        <v>30</v>
      </c>
      <c r="O3" s="45" t="s">
        <v>31</v>
      </c>
      <c r="P3" s="45" t="s">
        <v>220</v>
      </c>
      <c r="Q3" s="45" t="s">
        <v>221</v>
      </c>
      <c r="R3" s="45" t="s">
        <v>171</v>
      </c>
      <c r="S3" s="45" t="s">
        <v>169</v>
      </c>
    </row>
    <row r="4" spans="1:19" ht="39.950000000000003" customHeight="1" x14ac:dyDescent="0.25">
      <c r="A4" s="13">
        <v>1</v>
      </c>
      <c r="B4" s="25"/>
      <c r="C4" s="9"/>
      <c r="D4" s="102"/>
      <c r="E4" s="16"/>
      <c r="F4" s="9"/>
      <c r="G4" s="16"/>
      <c r="H4" s="16"/>
      <c r="I4" s="10" t="str">
        <f>IF(R4="","",IF(S4&gt;0,MIN(R4,S4),R4))</f>
        <v/>
      </c>
      <c r="J4" s="48">
        <f>IF(AND(B4&lt;&gt;"",C4&lt;&gt;"",D4&lt;&gt;"",F4&lt;&gt;""),1,0)</f>
        <v>0</v>
      </c>
      <c r="K4" s="48" t="e">
        <f t="shared" ref="K4:K10" si="0">IF(AND(VLOOKUP(F4,HINHTHUC_GIAOTRINH_LOOKUP,2,FALSE)=0,G4=""),0,1)</f>
        <v>#N/A</v>
      </c>
      <c r="L4" s="48" t="e">
        <f t="shared" ref="L4:L10" si="1">IF(AND(VLOOKUP(F4,HINHTHUC_GIAOTRINH_LOOKUP,2,FALSE)&gt;0,OR(H4="",H4&lt;1)),0,IF(H4="",0,1))</f>
        <v>#N/A</v>
      </c>
      <c r="M4" s="38" t="e">
        <f t="shared" ref="M4:M10" si="2">IF(AND(VLOOKUP(C4,GIAOTRINH_LOOKUP,4,FALSE)=1,E4=""),0,1)</f>
        <v>#N/A</v>
      </c>
      <c r="N4" s="38">
        <f t="shared" ref="N4:N10" si="3">IF(ISNUMBER(J4*K4*L4*M4),J4*K4*L4*M4,0)</f>
        <v>0</v>
      </c>
      <c r="O4" s="38" t="e">
        <f t="shared" ref="O4:O10" si="4">IF(VLOOKUP(C4,GIAOTRINH_LOOKUP,4,FALSE)=1,VLOOKUP(C4,GIAOTRINH_LOOKUP,2,FALSE)*E4,VLOOKUP(C4,GIAOTRINH_LOOKUP,3,FALSE))</f>
        <v>#N/A</v>
      </c>
      <c r="P4" s="38" t="str">
        <f>IF(N4,ROUND(O4*(1/3)/G4,1),"")</f>
        <v/>
      </c>
      <c r="Q4" s="38" t="str">
        <f>IF(N4,ROUND(O4*(2/3)/(G4+H4),1),"")</f>
        <v/>
      </c>
      <c r="R4" s="38" t="str">
        <f t="shared" ref="R4:R10" si="5">IF(N4,IF(VLOOKUP(F4,HINHTHUC_GIAOTRINH_LOOKUP,2,FALSE)=1,Q4,P4+Q4),"")</f>
        <v/>
      </c>
      <c r="S4" s="38" t="e">
        <f t="shared" ref="S4:S10" si="6">VLOOKUP(C4,GIAOTRINH_LOOKUP,6,FALSE)</f>
        <v>#N/A</v>
      </c>
    </row>
    <row r="5" spans="1:19" ht="39.950000000000003" customHeight="1" x14ac:dyDescent="0.25">
      <c r="A5" s="13">
        <v>2</v>
      </c>
      <c r="B5" s="25"/>
      <c r="C5" s="9"/>
      <c r="D5" s="102"/>
      <c r="E5" s="16"/>
      <c r="F5" s="9"/>
      <c r="G5" s="16"/>
      <c r="H5" s="16"/>
      <c r="I5" s="10" t="str">
        <f t="shared" ref="I5:I10" si="7">IF(R5="","",IF(S5&gt;0,MIN(R5,S5),R5))</f>
        <v/>
      </c>
      <c r="J5" s="48">
        <f t="shared" ref="J5:J10" si="8">IF(AND(B5&lt;&gt;"",C5&lt;&gt;"",D5&lt;&gt;"",F5&lt;&gt;""),1,0)</f>
        <v>0</v>
      </c>
      <c r="K5" s="48" t="e">
        <f t="shared" si="0"/>
        <v>#N/A</v>
      </c>
      <c r="L5" s="48" t="e">
        <f t="shared" si="1"/>
        <v>#N/A</v>
      </c>
      <c r="M5" s="38" t="e">
        <f t="shared" si="2"/>
        <v>#N/A</v>
      </c>
      <c r="N5" s="38">
        <f t="shared" si="3"/>
        <v>0</v>
      </c>
      <c r="O5" s="38" t="e">
        <f t="shared" si="4"/>
        <v>#N/A</v>
      </c>
      <c r="P5" s="38" t="str">
        <f t="shared" ref="P5:P10" si="9">IF(N5,ROUND(O5*(1/3)/G5,1),"")</f>
        <v/>
      </c>
      <c r="Q5" s="38" t="str">
        <f t="shared" ref="Q5:Q10" si="10">IF(N5,ROUND(O5*(2/3)/(G5+H5),1),"")</f>
        <v/>
      </c>
      <c r="R5" s="38" t="str">
        <f t="shared" si="5"/>
        <v/>
      </c>
      <c r="S5" s="38" t="e">
        <f t="shared" si="6"/>
        <v>#N/A</v>
      </c>
    </row>
    <row r="6" spans="1:19" ht="39.950000000000003" customHeight="1" x14ac:dyDescent="0.25">
      <c r="A6" s="13">
        <v>3</v>
      </c>
      <c r="B6" s="25"/>
      <c r="C6" s="9"/>
      <c r="D6" s="102"/>
      <c r="E6" s="16"/>
      <c r="F6" s="9"/>
      <c r="G6" s="16"/>
      <c r="H6" s="16"/>
      <c r="I6" s="10" t="str">
        <f t="shared" si="7"/>
        <v/>
      </c>
      <c r="J6" s="48">
        <f t="shared" si="8"/>
        <v>0</v>
      </c>
      <c r="K6" s="48" t="e">
        <f t="shared" si="0"/>
        <v>#N/A</v>
      </c>
      <c r="L6" s="48" t="e">
        <f t="shared" si="1"/>
        <v>#N/A</v>
      </c>
      <c r="M6" s="38" t="e">
        <f t="shared" si="2"/>
        <v>#N/A</v>
      </c>
      <c r="N6" s="38">
        <f t="shared" si="3"/>
        <v>0</v>
      </c>
      <c r="O6" s="38" t="e">
        <f t="shared" si="4"/>
        <v>#N/A</v>
      </c>
      <c r="P6" s="38" t="str">
        <f t="shared" si="9"/>
        <v/>
      </c>
      <c r="Q6" s="38" t="str">
        <f t="shared" si="10"/>
        <v/>
      </c>
      <c r="R6" s="38" t="str">
        <f t="shared" si="5"/>
        <v/>
      </c>
      <c r="S6" s="38" t="e">
        <f t="shared" si="6"/>
        <v>#N/A</v>
      </c>
    </row>
    <row r="7" spans="1:19" ht="39.950000000000003" customHeight="1" x14ac:dyDescent="0.25">
      <c r="A7" s="13">
        <v>4</v>
      </c>
      <c r="B7" s="25"/>
      <c r="C7" s="9"/>
      <c r="D7" s="102"/>
      <c r="E7" s="16"/>
      <c r="F7" s="9"/>
      <c r="G7" s="16"/>
      <c r="H7" s="16"/>
      <c r="I7" s="10" t="str">
        <f t="shared" si="7"/>
        <v/>
      </c>
      <c r="J7" s="48">
        <f t="shared" si="8"/>
        <v>0</v>
      </c>
      <c r="K7" s="48" t="e">
        <f t="shared" si="0"/>
        <v>#N/A</v>
      </c>
      <c r="L7" s="48" t="e">
        <f t="shared" si="1"/>
        <v>#N/A</v>
      </c>
      <c r="M7" s="38" t="e">
        <f t="shared" si="2"/>
        <v>#N/A</v>
      </c>
      <c r="N7" s="38">
        <f t="shared" si="3"/>
        <v>0</v>
      </c>
      <c r="O7" s="38" t="e">
        <f t="shared" si="4"/>
        <v>#N/A</v>
      </c>
      <c r="P7" s="38" t="str">
        <f t="shared" si="9"/>
        <v/>
      </c>
      <c r="Q7" s="38" t="str">
        <f t="shared" si="10"/>
        <v/>
      </c>
      <c r="R7" s="38" t="str">
        <f t="shared" si="5"/>
        <v/>
      </c>
      <c r="S7" s="38" t="e">
        <f t="shared" si="6"/>
        <v>#N/A</v>
      </c>
    </row>
    <row r="8" spans="1:19" ht="39.950000000000003" customHeight="1" x14ac:dyDescent="0.25">
      <c r="A8" s="13">
        <v>5</v>
      </c>
      <c r="B8" s="25"/>
      <c r="C8" s="9"/>
      <c r="D8" s="102"/>
      <c r="E8" s="16"/>
      <c r="F8" s="9"/>
      <c r="G8" s="16"/>
      <c r="H8" s="16"/>
      <c r="I8" s="10" t="str">
        <f t="shared" si="7"/>
        <v/>
      </c>
      <c r="J8" s="48">
        <f t="shared" si="8"/>
        <v>0</v>
      </c>
      <c r="K8" s="48" t="e">
        <f t="shared" si="0"/>
        <v>#N/A</v>
      </c>
      <c r="L8" s="48" t="e">
        <f t="shared" si="1"/>
        <v>#N/A</v>
      </c>
      <c r="M8" s="38" t="e">
        <f t="shared" si="2"/>
        <v>#N/A</v>
      </c>
      <c r="N8" s="38">
        <f t="shared" si="3"/>
        <v>0</v>
      </c>
      <c r="O8" s="38" t="e">
        <f t="shared" si="4"/>
        <v>#N/A</v>
      </c>
      <c r="P8" s="38" t="str">
        <f t="shared" si="9"/>
        <v/>
      </c>
      <c r="Q8" s="38" t="str">
        <f t="shared" si="10"/>
        <v/>
      </c>
      <c r="R8" s="38" t="str">
        <f t="shared" si="5"/>
        <v/>
      </c>
      <c r="S8" s="38" t="e">
        <f t="shared" si="6"/>
        <v>#N/A</v>
      </c>
    </row>
    <row r="9" spans="1:19" ht="39.950000000000003" customHeight="1" x14ac:dyDescent="0.25">
      <c r="A9" s="13">
        <v>6</v>
      </c>
      <c r="B9" s="25"/>
      <c r="C9" s="9"/>
      <c r="D9" s="102"/>
      <c r="E9" s="16"/>
      <c r="F9" s="9"/>
      <c r="G9" s="16"/>
      <c r="H9" s="16"/>
      <c r="I9" s="10" t="str">
        <f t="shared" si="7"/>
        <v/>
      </c>
      <c r="J9" s="48">
        <f t="shared" si="8"/>
        <v>0</v>
      </c>
      <c r="K9" s="48" t="e">
        <f t="shared" si="0"/>
        <v>#N/A</v>
      </c>
      <c r="L9" s="48" t="e">
        <f t="shared" si="1"/>
        <v>#N/A</v>
      </c>
      <c r="M9" s="38" t="e">
        <f t="shared" si="2"/>
        <v>#N/A</v>
      </c>
      <c r="N9" s="38">
        <f t="shared" si="3"/>
        <v>0</v>
      </c>
      <c r="O9" s="38" t="e">
        <f t="shared" si="4"/>
        <v>#N/A</v>
      </c>
      <c r="P9" s="38" t="str">
        <f t="shared" si="9"/>
        <v/>
      </c>
      <c r="Q9" s="38" t="str">
        <f t="shared" si="10"/>
        <v/>
      </c>
      <c r="R9" s="38" t="str">
        <f t="shared" si="5"/>
        <v/>
      </c>
      <c r="S9" s="38" t="e">
        <f t="shared" si="6"/>
        <v>#N/A</v>
      </c>
    </row>
    <row r="10" spans="1:19" ht="39.950000000000003" customHeight="1" x14ac:dyDescent="0.25">
      <c r="A10" s="13">
        <v>7</v>
      </c>
      <c r="B10" s="25"/>
      <c r="C10" s="9"/>
      <c r="D10" s="102"/>
      <c r="E10" s="16"/>
      <c r="F10" s="9"/>
      <c r="G10" s="16"/>
      <c r="H10" s="16"/>
      <c r="I10" s="10" t="str">
        <f t="shared" si="7"/>
        <v/>
      </c>
      <c r="J10" s="48">
        <f t="shared" si="8"/>
        <v>0</v>
      </c>
      <c r="K10" s="48" t="e">
        <f t="shared" si="0"/>
        <v>#N/A</v>
      </c>
      <c r="L10" s="48" t="e">
        <f t="shared" si="1"/>
        <v>#N/A</v>
      </c>
      <c r="M10" s="38" t="e">
        <f t="shared" si="2"/>
        <v>#N/A</v>
      </c>
      <c r="N10" s="38">
        <f t="shared" si="3"/>
        <v>0</v>
      </c>
      <c r="O10" s="38" t="e">
        <f t="shared" si="4"/>
        <v>#N/A</v>
      </c>
      <c r="P10" s="38" t="str">
        <f t="shared" si="9"/>
        <v/>
      </c>
      <c r="Q10" s="38" t="str">
        <f t="shared" si="10"/>
        <v/>
      </c>
      <c r="R10" s="38" t="str">
        <f t="shared" si="5"/>
        <v/>
      </c>
      <c r="S10" s="38" t="e">
        <f t="shared" si="6"/>
        <v>#N/A</v>
      </c>
    </row>
    <row r="11" spans="1:19" ht="20.100000000000001" customHeight="1" x14ac:dyDescent="0.25">
      <c r="A11" s="17"/>
      <c r="B11" s="4"/>
      <c r="C11" s="6"/>
      <c r="D11" s="6"/>
      <c r="E11" s="6"/>
      <c r="F11" s="1"/>
      <c r="G11" s="1"/>
      <c r="H11" s="15" t="s">
        <v>42</v>
      </c>
      <c r="I11" s="5">
        <f>SUM(I4:I10)</f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</row>
  </sheetData>
  <sheetProtection password="F660" sheet="1" objects="1" scenarios="1" formatCells="0"/>
  <dataValidations count="6">
    <dataValidation type="whole" operator="greaterThanOrEqual" allowBlank="1" showInputMessage="1" showErrorMessage="1" errorTitle="Lỗi" error="Vui lòng nhập đúng tổng số thành viên (&gt;=0)!" sqref="H4:H10">
      <formula1>0</formula1>
    </dataValidation>
    <dataValidation type="whole" allowBlank="1" showInputMessage="1" showErrorMessage="1" errorTitle="Lỗi" error="Vui lòng nhập đúng số tín chỉ, số chương sách (1-15)!" sqref="E4:E10">
      <formula1>1</formula1>
      <formula2>15</formula2>
    </dataValidation>
    <dataValidation type="list" allowBlank="1" showInputMessage="1" showErrorMessage="1" errorTitle="Lỗi" error="Vui lòng chỉ chọn các hình thức có trong danh sách!" sqref="F4:F10">
      <formula1>HINHTHUC_GIAOTRINH</formula1>
    </dataValidation>
    <dataValidation type="list" allowBlank="1" showInputMessage="1" showErrorMessage="1" errorTitle="Lỗi" error="Vui lòng chỉ chọn các loại sách, giáo trình có trong danh sách" sqref="C4:C10">
      <formula1>GIAOTRINH</formula1>
    </dataValidation>
    <dataValidation allowBlank="1" showInputMessage="1" showErrorMessage="1" errorTitle="Lỗi" error="Vui lòng chỉ chọn các loại sách, giáo trình có trong danh sách" sqref="D4:D10"/>
    <dataValidation type="whole" operator="greaterThan" allowBlank="1" showInputMessage="1" showErrorMessage="1" errorTitle="Lỗi" error="Vui lòng nhập đúng tổng số đồng tác giả (&gt;0)!" sqref="G4:G10">
      <formula1>0</formula1>
    </dataValidation>
  </dataValidations>
  <printOptions horizontalCentered="1"/>
  <pageMargins left="0.2" right="0.2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29"/>
  <sheetViews>
    <sheetView zoomScaleNormal="100" zoomScaleSheetLayoutView="10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3.28515625" style="36" customWidth="1"/>
    <col min="2" max="2" width="49.28515625" style="36" customWidth="1"/>
    <col min="3" max="3" width="35.85546875" style="36" customWidth="1"/>
    <col min="4" max="4" width="42.85546875" style="36" customWidth="1"/>
    <col min="5" max="5" width="13.85546875" style="36" customWidth="1"/>
    <col min="6" max="6" width="13.28515625" style="36" customWidth="1"/>
    <col min="7" max="7" width="18.7109375" style="36" customWidth="1"/>
    <col min="8" max="8" width="9.42578125" style="36" customWidth="1"/>
    <col min="9" max="12" width="9.140625" style="36" hidden="1" customWidth="1"/>
    <col min="13" max="13" width="12.28515625" style="36" hidden="1" customWidth="1"/>
    <col min="14" max="14" width="13.85546875" style="36" hidden="1" customWidth="1"/>
    <col min="15" max="15" width="12.5703125" style="36" hidden="1" customWidth="1"/>
    <col min="16" max="17" width="10" style="36" hidden="1" customWidth="1"/>
    <col min="18" max="16384" width="9.140625" style="36"/>
  </cols>
  <sheetData>
    <row r="1" spans="1:17" x14ac:dyDescent="0.25">
      <c r="A1" s="98"/>
      <c r="B1" s="98"/>
      <c r="C1" s="98"/>
      <c r="D1" s="98"/>
      <c r="E1" s="98"/>
      <c r="F1" s="98"/>
      <c r="G1" s="98"/>
      <c r="H1" s="98"/>
      <c r="I1" s="43"/>
      <c r="J1" s="43"/>
      <c r="K1" s="43"/>
      <c r="L1" s="43"/>
      <c r="M1" s="43"/>
      <c r="N1" s="43"/>
      <c r="O1" s="43"/>
      <c r="P1" s="43"/>
      <c r="Q1" s="43"/>
    </row>
    <row r="2" spans="1:17" ht="24.95" customHeight="1" x14ac:dyDescent="0.25">
      <c r="A2" s="8" t="s">
        <v>75</v>
      </c>
      <c r="B2" s="1"/>
      <c r="C2" s="1"/>
      <c r="D2" s="1"/>
      <c r="E2" s="1"/>
      <c r="F2" s="1"/>
      <c r="G2" s="6"/>
      <c r="H2" s="6"/>
      <c r="I2" s="44"/>
      <c r="J2" s="44"/>
      <c r="K2" s="44"/>
      <c r="L2" s="44"/>
      <c r="M2" s="44"/>
      <c r="N2" s="44"/>
      <c r="O2" s="44"/>
      <c r="P2" s="44"/>
      <c r="Q2" s="43"/>
    </row>
    <row r="3" spans="1:17" ht="39.950000000000003" customHeight="1" x14ac:dyDescent="0.25">
      <c r="A3" s="23" t="s">
        <v>40</v>
      </c>
      <c r="B3" s="24" t="s">
        <v>53</v>
      </c>
      <c r="C3" s="24" t="s">
        <v>128</v>
      </c>
      <c r="D3" s="24" t="s">
        <v>54</v>
      </c>
      <c r="E3" s="24" t="s">
        <v>21</v>
      </c>
      <c r="F3" s="24" t="s">
        <v>224</v>
      </c>
      <c r="G3" s="24" t="s">
        <v>225</v>
      </c>
      <c r="H3" s="24" t="s">
        <v>50</v>
      </c>
      <c r="I3" s="45" t="s">
        <v>27</v>
      </c>
      <c r="J3" s="45" t="s">
        <v>28</v>
      </c>
      <c r="K3" s="45" t="s">
        <v>29</v>
      </c>
      <c r="L3" s="45" t="s">
        <v>30</v>
      </c>
      <c r="M3" s="45" t="s">
        <v>145</v>
      </c>
      <c r="N3" s="45" t="s">
        <v>220</v>
      </c>
      <c r="O3" s="45" t="s">
        <v>158</v>
      </c>
      <c r="P3" s="45" t="s">
        <v>226</v>
      </c>
      <c r="Q3" s="45" t="s">
        <v>159</v>
      </c>
    </row>
    <row r="4" spans="1:17" ht="50.1" customHeight="1" x14ac:dyDescent="0.25">
      <c r="A4" s="13">
        <v>1</v>
      </c>
      <c r="B4" s="25"/>
      <c r="C4" s="104"/>
      <c r="D4" s="25"/>
      <c r="E4" s="9"/>
      <c r="F4" s="9"/>
      <c r="G4" s="16"/>
      <c r="H4" s="11" t="str">
        <f>IF(L4=1,ROUND(P4,1),"")</f>
        <v/>
      </c>
      <c r="I4" s="48">
        <f>IF(AND(B4&lt;&gt;"",C4&lt;&gt;"",D4&lt;&gt;"",E4&lt;&gt;"",F4&lt;&gt;"",G4&lt;&gt;""),1,0)</f>
        <v>0</v>
      </c>
      <c r="J4" s="48" t="e">
        <f t="shared" ref="J4:J28" si="0">IF(AND((VLOOKUP(E4,HINHTHUCTHAMGIA_LOOKUP,2,FALSE)=0),F4=""),0,1)</f>
        <v>#N/A</v>
      </c>
      <c r="K4" s="48" t="e">
        <f t="shared" ref="K4:K28" si="1">IF(AND((VLOOKUP(E4,HINHTHUCTHAMGIA_LOOKUP,2,FALSE)&gt;0),OR(G4="",G4&lt;1)),0,1)</f>
        <v>#N/A</v>
      </c>
      <c r="L4" s="48">
        <f t="shared" ref="L4:L28" si="2">IF(ISNUMBER(I4*J4*K4),I4*J4*K4,0)</f>
        <v>0</v>
      </c>
      <c r="M4" s="48" t="e">
        <f t="shared" ref="M4:M28" si="3">VLOOKUP(D4,BAIBAO_LOOKUP,2,FALSE)</f>
        <v>#N/A</v>
      </c>
      <c r="N4" s="48" t="str">
        <f>IF(L4,ROUND(M4*(1/3)/F4,1),"")</f>
        <v/>
      </c>
      <c r="O4" s="48" t="str">
        <f>IF(L4,ROUND(M4*(2/3)/(F4+G4),1),"")</f>
        <v/>
      </c>
      <c r="P4" s="48" t="e">
        <f t="shared" ref="P4:P28" si="4">IF(VLOOKUP(E4,HINHTHUCTHAMGIA_LOOKUP,2,FALSE)=1,O4,N4+O4)</f>
        <v>#N/A</v>
      </c>
      <c r="Q4" s="48">
        <f t="shared" ref="Q4:Q28" si="5">IF(D4&lt;&gt;"",VLOOKUP(D4,BAIBAO_LOOKUP,3,FALSE),0)</f>
        <v>0</v>
      </c>
    </row>
    <row r="5" spans="1:17" ht="50.1" customHeight="1" x14ac:dyDescent="0.25">
      <c r="A5" s="13">
        <v>2</v>
      </c>
      <c r="B5" s="25"/>
      <c r="C5" s="104"/>
      <c r="D5" s="25"/>
      <c r="E5" s="9"/>
      <c r="F5" s="9"/>
      <c r="G5" s="16"/>
      <c r="H5" s="11" t="str">
        <f t="shared" ref="H5:H28" si="6">IF(L5=1,ROUND(P5,1),"")</f>
        <v/>
      </c>
      <c r="I5" s="48">
        <f t="shared" ref="I5:I28" si="7">IF(AND(B5&lt;&gt;"",C5&lt;&gt;"",D5&lt;&gt;"",E5&lt;&gt;"",F5&lt;&gt;"",G5&lt;&gt;""),1,0)</f>
        <v>0</v>
      </c>
      <c r="J5" s="48" t="e">
        <f t="shared" si="0"/>
        <v>#N/A</v>
      </c>
      <c r="K5" s="48" t="e">
        <f t="shared" si="1"/>
        <v>#N/A</v>
      </c>
      <c r="L5" s="48">
        <f t="shared" si="2"/>
        <v>0</v>
      </c>
      <c r="M5" s="48" t="e">
        <f t="shared" si="3"/>
        <v>#N/A</v>
      </c>
      <c r="N5" s="48" t="str">
        <f t="shared" ref="N5:N28" si="8">IF(L5,ROUND(M5*(1/3)/F5,1),"")</f>
        <v/>
      </c>
      <c r="O5" s="48" t="str">
        <f t="shared" ref="O5:O28" si="9">IF(L5,ROUND(M5*(2/3)/(F5+G5),1),"")</f>
        <v/>
      </c>
      <c r="P5" s="48" t="e">
        <f t="shared" si="4"/>
        <v>#N/A</v>
      </c>
      <c r="Q5" s="48">
        <f t="shared" si="5"/>
        <v>0</v>
      </c>
    </row>
    <row r="6" spans="1:17" ht="50.1" customHeight="1" x14ac:dyDescent="0.25">
      <c r="A6" s="13">
        <v>3</v>
      </c>
      <c r="B6" s="25"/>
      <c r="C6" s="104"/>
      <c r="D6" s="25"/>
      <c r="E6" s="9"/>
      <c r="F6" s="9"/>
      <c r="G6" s="16"/>
      <c r="H6" s="11" t="str">
        <f t="shared" si="6"/>
        <v/>
      </c>
      <c r="I6" s="48">
        <f t="shared" si="7"/>
        <v>0</v>
      </c>
      <c r="J6" s="48" t="e">
        <f t="shared" si="0"/>
        <v>#N/A</v>
      </c>
      <c r="K6" s="48" t="e">
        <f t="shared" si="1"/>
        <v>#N/A</v>
      </c>
      <c r="L6" s="48">
        <f t="shared" si="2"/>
        <v>0</v>
      </c>
      <c r="M6" s="48" t="e">
        <f t="shared" si="3"/>
        <v>#N/A</v>
      </c>
      <c r="N6" s="48" t="str">
        <f t="shared" si="8"/>
        <v/>
      </c>
      <c r="O6" s="48" t="str">
        <f t="shared" si="9"/>
        <v/>
      </c>
      <c r="P6" s="48" t="e">
        <f t="shared" si="4"/>
        <v>#N/A</v>
      </c>
      <c r="Q6" s="48">
        <f t="shared" si="5"/>
        <v>0</v>
      </c>
    </row>
    <row r="7" spans="1:17" ht="50.1" customHeight="1" x14ac:dyDescent="0.25">
      <c r="A7" s="13">
        <v>4</v>
      </c>
      <c r="B7" s="25"/>
      <c r="C7" s="104"/>
      <c r="D7" s="25"/>
      <c r="E7" s="9"/>
      <c r="F7" s="9"/>
      <c r="G7" s="16"/>
      <c r="H7" s="11" t="str">
        <f t="shared" si="6"/>
        <v/>
      </c>
      <c r="I7" s="48">
        <f t="shared" si="7"/>
        <v>0</v>
      </c>
      <c r="J7" s="48" t="e">
        <f t="shared" si="0"/>
        <v>#N/A</v>
      </c>
      <c r="K7" s="48" t="e">
        <f t="shared" si="1"/>
        <v>#N/A</v>
      </c>
      <c r="L7" s="48">
        <f t="shared" si="2"/>
        <v>0</v>
      </c>
      <c r="M7" s="48" t="e">
        <f t="shared" si="3"/>
        <v>#N/A</v>
      </c>
      <c r="N7" s="48" t="str">
        <f t="shared" si="8"/>
        <v/>
      </c>
      <c r="O7" s="48" t="str">
        <f t="shared" si="9"/>
        <v/>
      </c>
      <c r="P7" s="48" t="e">
        <f t="shared" si="4"/>
        <v>#N/A</v>
      </c>
      <c r="Q7" s="48">
        <f t="shared" si="5"/>
        <v>0</v>
      </c>
    </row>
    <row r="8" spans="1:17" ht="50.1" customHeight="1" x14ac:dyDescent="0.25">
      <c r="A8" s="13">
        <v>5</v>
      </c>
      <c r="B8" s="25"/>
      <c r="C8" s="104"/>
      <c r="D8" s="25"/>
      <c r="E8" s="9"/>
      <c r="F8" s="9"/>
      <c r="G8" s="16"/>
      <c r="H8" s="11" t="str">
        <f t="shared" si="6"/>
        <v/>
      </c>
      <c r="I8" s="48">
        <f t="shared" si="7"/>
        <v>0</v>
      </c>
      <c r="J8" s="48" t="e">
        <f t="shared" si="0"/>
        <v>#N/A</v>
      </c>
      <c r="K8" s="48" t="e">
        <f t="shared" si="1"/>
        <v>#N/A</v>
      </c>
      <c r="L8" s="48">
        <f t="shared" si="2"/>
        <v>0</v>
      </c>
      <c r="M8" s="48" t="e">
        <f t="shared" si="3"/>
        <v>#N/A</v>
      </c>
      <c r="N8" s="48" t="str">
        <f t="shared" si="8"/>
        <v/>
      </c>
      <c r="O8" s="48" t="str">
        <f t="shared" si="9"/>
        <v/>
      </c>
      <c r="P8" s="48" t="e">
        <f t="shared" si="4"/>
        <v>#N/A</v>
      </c>
      <c r="Q8" s="48">
        <f t="shared" si="5"/>
        <v>0</v>
      </c>
    </row>
    <row r="9" spans="1:17" ht="50.1" customHeight="1" x14ac:dyDescent="0.25">
      <c r="A9" s="13">
        <v>6</v>
      </c>
      <c r="B9" s="25"/>
      <c r="C9" s="104"/>
      <c r="D9" s="25"/>
      <c r="E9" s="9"/>
      <c r="F9" s="9"/>
      <c r="G9" s="16"/>
      <c r="H9" s="11" t="str">
        <f t="shared" si="6"/>
        <v/>
      </c>
      <c r="I9" s="48">
        <f t="shared" si="7"/>
        <v>0</v>
      </c>
      <c r="J9" s="48" t="e">
        <f t="shared" si="0"/>
        <v>#N/A</v>
      </c>
      <c r="K9" s="48" t="e">
        <f t="shared" si="1"/>
        <v>#N/A</v>
      </c>
      <c r="L9" s="48">
        <f t="shared" si="2"/>
        <v>0</v>
      </c>
      <c r="M9" s="48" t="e">
        <f t="shared" si="3"/>
        <v>#N/A</v>
      </c>
      <c r="N9" s="48" t="str">
        <f t="shared" si="8"/>
        <v/>
      </c>
      <c r="O9" s="48" t="str">
        <f t="shared" si="9"/>
        <v/>
      </c>
      <c r="P9" s="48" t="e">
        <f t="shared" si="4"/>
        <v>#N/A</v>
      </c>
      <c r="Q9" s="48">
        <f t="shared" si="5"/>
        <v>0</v>
      </c>
    </row>
    <row r="10" spans="1:17" ht="50.1" customHeight="1" x14ac:dyDescent="0.25">
      <c r="A10" s="13">
        <v>7</v>
      </c>
      <c r="B10" s="25"/>
      <c r="C10" s="104"/>
      <c r="D10" s="25"/>
      <c r="E10" s="9"/>
      <c r="F10" s="9"/>
      <c r="G10" s="16"/>
      <c r="H10" s="11" t="str">
        <f t="shared" si="6"/>
        <v/>
      </c>
      <c r="I10" s="48">
        <f t="shared" si="7"/>
        <v>0</v>
      </c>
      <c r="J10" s="48" t="e">
        <f t="shared" si="0"/>
        <v>#N/A</v>
      </c>
      <c r="K10" s="48" t="e">
        <f t="shared" si="1"/>
        <v>#N/A</v>
      </c>
      <c r="L10" s="48">
        <f t="shared" si="2"/>
        <v>0</v>
      </c>
      <c r="M10" s="48" t="e">
        <f t="shared" si="3"/>
        <v>#N/A</v>
      </c>
      <c r="N10" s="48" t="str">
        <f t="shared" si="8"/>
        <v/>
      </c>
      <c r="O10" s="48" t="str">
        <f t="shared" si="9"/>
        <v/>
      </c>
      <c r="P10" s="48" t="e">
        <f t="shared" si="4"/>
        <v>#N/A</v>
      </c>
      <c r="Q10" s="48">
        <f t="shared" si="5"/>
        <v>0</v>
      </c>
    </row>
    <row r="11" spans="1:17" ht="50.1" customHeight="1" x14ac:dyDescent="0.25">
      <c r="A11" s="13">
        <v>8</v>
      </c>
      <c r="B11" s="25"/>
      <c r="C11" s="104"/>
      <c r="D11" s="25"/>
      <c r="E11" s="9"/>
      <c r="F11" s="9"/>
      <c r="G11" s="16"/>
      <c r="H11" s="11" t="str">
        <f t="shared" si="6"/>
        <v/>
      </c>
      <c r="I11" s="48">
        <f t="shared" si="7"/>
        <v>0</v>
      </c>
      <c r="J11" s="48" t="e">
        <f t="shared" si="0"/>
        <v>#N/A</v>
      </c>
      <c r="K11" s="48" t="e">
        <f t="shared" si="1"/>
        <v>#N/A</v>
      </c>
      <c r="L11" s="48">
        <f t="shared" si="2"/>
        <v>0</v>
      </c>
      <c r="M11" s="48" t="e">
        <f t="shared" si="3"/>
        <v>#N/A</v>
      </c>
      <c r="N11" s="48" t="str">
        <f t="shared" si="8"/>
        <v/>
      </c>
      <c r="O11" s="48" t="str">
        <f t="shared" si="9"/>
        <v/>
      </c>
      <c r="P11" s="48" t="e">
        <f t="shared" si="4"/>
        <v>#N/A</v>
      </c>
      <c r="Q11" s="48">
        <f t="shared" si="5"/>
        <v>0</v>
      </c>
    </row>
    <row r="12" spans="1:17" ht="50.1" customHeight="1" x14ac:dyDescent="0.25">
      <c r="A12" s="13">
        <v>9</v>
      </c>
      <c r="B12" s="25"/>
      <c r="C12" s="104"/>
      <c r="D12" s="25"/>
      <c r="E12" s="9"/>
      <c r="F12" s="9"/>
      <c r="G12" s="16"/>
      <c r="H12" s="11" t="str">
        <f t="shared" si="6"/>
        <v/>
      </c>
      <c r="I12" s="48">
        <f t="shared" si="7"/>
        <v>0</v>
      </c>
      <c r="J12" s="48" t="e">
        <f t="shared" si="0"/>
        <v>#N/A</v>
      </c>
      <c r="K12" s="48" t="e">
        <f t="shared" si="1"/>
        <v>#N/A</v>
      </c>
      <c r="L12" s="48">
        <f t="shared" si="2"/>
        <v>0</v>
      </c>
      <c r="M12" s="48" t="e">
        <f t="shared" si="3"/>
        <v>#N/A</v>
      </c>
      <c r="N12" s="48" t="str">
        <f t="shared" si="8"/>
        <v/>
      </c>
      <c r="O12" s="48" t="str">
        <f t="shared" si="9"/>
        <v/>
      </c>
      <c r="P12" s="48" t="e">
        <f t="shared" si="4"/>
        <v>#N/A</v>
      </c>
      <c r="Q12" s="48">
        <f t="shared" si="5"/>
        <v>0</v>
      </c>
    </row>
    <row r="13" spans="1:17" ht="50.1" customHeight="1" x14ac:dyDescent="0.25">
      <c r="A13" s="13">
        <v>10</v>
      </c>
      <c r="B13" s="25"/>
      <c r="C13" s="104"/>
      <c r="D13" s="25"/>
      <c r="E13" s="9"/>
      <c r="F13" s="9"/>
      <c r="G13" s="16"/>
      <c r="H13" s="11" t="str">
        <f t="shared" si="6"/>
        <v/>
      </c>
      <c r="I13" s="48">
        <f t="shared" si="7"/>
        <v>0</v>
      </c>
      <c r="J13" s="48" t="e">
        <f t="shared" si="0"/>
        <v>#N/A</v>
      </c>
      <c r="K13" s="48" t="e">
        <f t="shared" si="1"/>
        <v>#N/A</v>
      </c>
      <c r="L13" s="48">
        <f t="shared" si="2"/>
        <v>0</v>
      </c>
      <c r="M13" s="48" t="e">
        <f t="shared" si="3"/>
        <v>#N/A</v>
      </c>
      <c r="N13" s="48" t="str">
        <f t="shared" si="8"/>
        <v/>
      </c>
      <c r="O13" s="48" t="str">
        <f t="shared" si="9"/>
        <v/>
      </c>
      <c r="P13" s="48" t="e">
        <f t="shared" si="4"/>
        <v>#N/A</v>
      </c>
      <c r="Q13" s="48">
        <f t="shared" si="5"/>
        <v>0</v>
      </c>
    </row>
    <row r="14" spans="1:17" ht="50.1" customHeight="1" x14ac:dyDescent="0.25">
      <c r="A14" s="13">
        <v>11</v>
      </c>
      <c r="B14" s="25"/>
      <c r="C14" s="104"/>
      <c r="D14" s="25"/>
      <c r="E14" s="9"/>
      <c r="F14" s="9"/>
      <c r="G14" s="16"/>
      <c r="H14" s="11" t="str">
        <f t="shared" si="6"/>
        <v/>
      </c>
      <c r="I14" s="48">
        <f t="shared" si="7"/>
        <v>0</v>
      </c>
      <c r="J14" s="48" t="e">
        <f t="shared" si="0"/>
        <v>#N/A</v>
      </c>
      <c r="K14" s="48" t="e">
        <f t="shared" si="1"/>
        <v>#N/A</v>
      </c>
      <c r="L14" s="48">
        <f t="shared" si="2"/>
        <v>0</v>
      </c>
      <c r="M14" s="48" t="e">
        <f t="shared" si="3"/>
        <v>#N/A</v>
      </c>
      <c r="N14" s="48" t="str">
        <f t="shared" si="8"/>
        <v/>
      </c>
      <c r="O14" s="48" t="str">
        <f t="shared" si="9"/>
        <v/>
      </c>
      <c r="P14" s="48" t="e">
        <f t="shared" si="4"/>
        <v>#N/A</v>
      </c>
      <c r="Q14" s="48">
        <f t="shared" si="5"/>
        <v>0</v>
      </c>
    </row>
    <row r="15" spans="1:17" ht="50.1" customHeight="1" x14ac:dyDescent="0.25">
      <c r="A15" s="13">
        <v>12</v>
      </c>
      <c r="B15" s="25"/>
      <c r="C15" s="104"/>
      <c r="D15" s="25"/>
      <c r="E15" s="9"/>
      <c r="F15" s="9"/>
      <c r="G15" s="16"/>
      <c r="H15" s="11" t="str">
        <f t="shared" si="6"/>
        <v/>
      </c>
      <c r="I15" s="48">
        <f t="shared" si="7"/>
        <v>0</v>
      </c>
      <c r="J15" s="48" t="e">
        <f t="shared" si="0"/>
        <v>#N/A</v>
      </c>
      <c r="K15" s="48" t="e">
        <f t="shared" si="1"/>
        <v>#N/A</v>
      </c>
      <c r="L15" s="48">
        <f t="shared" si="2"/>
        <v>0</v>
      </c>
      <c r="M15" s="48" t="e">
        <f t="shared" si="3"/>
        <v>#N/A</v>
      </c>
      <c r="N15" s="48" t="str">
        <f t="shared" si="8"/>
        <v/>
      </c>
      <c r="O15" s="48" t="str">
        <f t="shared" si="9"/>
        <v/>
      </c>
      <c r="P15" s="48" t="e">
        <f t="shared" si="4"/>
        <v>#N/A</v>
      </c>
      <c r="Q15" s="48">
        <f t="shared" si="5"/>
        <v>0</v>
      </c>
    </row>
    <row r="16" spans="1:17" ht="50.1" customHeight="1" x14ac:dyDescent="0.25">
      <c r="A16" s="13">
        <v>13</v>
      </c>
      <c r="B16" s="25"/>
      <c r="C16" s="104"/>
      <c r="D16" s="25"/>
      <c r="E16" s="9"/>
      <c r="F16" s="9"/>
      <c r="G16" s="16"/>
      <c r="H16" s="11" t="str">
        <f t="shared" si="6"/>
        <v/>
      </c>
      <c r="I16" s="48">
        <f t="shared" si="7"/>
        <v>0</v>
      </c>
      <c r="J16" s="48" t="e">
        <f t="shared" si="0"/>
        <v>#N/A</v>
      </c>
      <c r="K16" s="48" t="e">
        <f t="shared" si="1"/>
        <v>#N/A</v>
      </c>
      <c r="L16" s="48">
        <f t="shared" si="2"/>
        <v>0</v>
      </c>
      <c r="M16" s="48" t="e">
        <f t="shared" si="3"/>
        <v>#N/A</v>
      </c>
      <c r="N16" s="48" t="str">
        <f t="shared" si="8"/>
        <v/>
      </c>
      <c r="O16" s="48" t="str">
        <f t="shared" si="9"/>
        <v/>
      </c>
      <c r="P16" s="48" t="e">
        <f t="shared" si="4"/>
        <v>#N/A</v>
      </c>
      <c r="Q16" s="48">
        <f t="shared" si="5"/>
        <v>0</v>
      </c>
    </row>
    <row r="17" spans="1:17" ht="50.1" customHeight="1" x14ac:dyDescent="0.25">
      <c r="A17" s="13">
        <v>14</v>
      </c>
      <c r="B17" s="25"/>
      <c r="C17" s="104"/>
      <c r="D17" s="25"/>
      <c r="E17" s="9"/>
      <c r="F17" s="9"/>
      <c r="G17" s="16"/>
      <c r="H17" s="11" t="str">
        <f t="shared" si="6"/>
        <v/>
      </c>
      <c r="I17" s="48">
        <f t="shared" si="7"/>
        <v>0</v>
      </c>
      <c r="J17" s="48" t="e">
        <f t="shared" si="0"/>
        <v>#N/A</v>
      </c>
      <c r="K17" s="48" t="e">
        <f t="shared" si="1"/>
        <v>#N/A</v>
      </c>
      <c r="L17" s="48">
        <f t="shared" si="2"/>
        <v>0</v>
      </c>
      <c r="M17" s="48" t="e">
        <f t="shared" si="3"/>
        <v>#N/A</v>
      </c>
      <c r="N17" s="48" t="str">
        <f t="shared" si="8"/>
        <v/>
      </c>
      <c r="O17" s="48" t="str">
        <f t="shared" si="9"/>
        <v/>
      </c>
      <c r="P17" s="48" t="e">
        <f t="shared" si="4"/>
        <v>#N/A</v>
      </c>
      <c r="Q17" s="48">
        <f t="shared" si="5"/>
        <v>0</v>
      </c>
    </row>
    <row r="18" spans="1:17" ht="50.1" customHeight="1" x14ac:dyDescent="0.25">
      <c r="A18" s="13">
        <v>15</v>
      </c>
      <c r="B18" s="25"/>
      <c r="C18" s="104"/>
      <c r="D18" s="25"/>
      <c r="E18" s="9"/>
      <c r="F18" s="9"/>
      <c r="G18" s="16"/>
      <c r="H18" s="11" t="str">
        <f t="shared" si="6"/>
        <v/>
      </c>
      <c r="I18" s="48">
        <f t="shared" si="7"/>
        <v>0</v>
      </c>
      <c r="J18" s="48" t="e">
        <f t="shared" si="0"/>
        <v>#N/A</v>
      </c>
      <c r="K18" s="48" t="e">
        <f t="shared" si="1"/>
        <v>#N/A</v>
      </c>
      <c r="L18" s="48">
        <f t="shared" si="2"/>
        <v>0</v>
      </c>
      <c r="M18" s="48" t="e">
        <f t="shared" si="3"/>
        <v>#N/A</v>
      </c>
      <c r="N18" s="48" t="str">
        <f t="shared" si="8"/>
        <v/>
      </c>
      <c r="O18" s="48" t="str">
        <f t="shared" si="9"/>
        <v/>
      </c>
      <c r="P18" s="48" t="e">
        <f t="shared" si="4"/>
        <v>#N/A</v>
      </c>
      <c r="Q18" s="48">
        <f t="shared" si="5"/>
        <v>0</v>
      </c>
    </row>
    <row r="19" spans="1:17" ht="50.1" customHeight="1" x14ac:dyDescent="0.25">
      <c r="A19" s="13">
        <v>16</v>
      </c>
      <c r="B19" s="25"/>
      <c r="C19" s="104"/>
      <c r="D19" s="25"/>
      <c r="E19" s="9"/>
      <c r="F19" s="9"/>
      <c r="G19" s="16"/>
      <c r="H19" s="11" t="str">
        <f t="shared" si="6"/>
        <v/>
      </c>
      <c r="I19" s="48">
        <f t="shared" si="7"/>
        <v>0</v>
      </c>
      <c r="J19" s="48" t="e">
        <f t="shared" si="0"/>
        <v>#N/A</v>
      </c>
      <c r="K19" s="48" t="e">
        <f t="shared" si="1"/>
        <v>#N/A</v>
      </c>
      <c r="L19" s="48">
        <f t="shared" si="2"/>
        <v>0</v>
      </c>
      <c r="M19" s="48" t="e">
        <f t="shared" si="3"/>
        <v>#N/A</v>
      </c>
      <c r="N19" s="48" t="str">
        <f t="shared" si="8"/>
        <v/>
      </c>
      <c r="O19" s="48" t="str">
        <f t="shared" si="9"/>
        <v/>
      </c>
      <c r="P19" s="48" t="e">
        <f t="shared" si="4"/>
        <v>#N/A</v>
      </c>
      <c r="Q19" s="48">
        <f t="shared" si="5"/>
        <v>0</v>
      </c>
    </row>
    <row r="20" spans="1:17" ht="50.1" customHeight="1" x14ac:dyDescent="0.25">
      <c r="A20" s="13">
        <v>17</v>
      </c>
      <c r="B20" s="25"/>
      <c r="C20" s="104"/>
      <c r="D20" s="25"/>
      <c r="E20" s="9"/>
      <c r="F20" s="9"/>
      <c r="G20" s="16"/>
      <c r="H20" s="11" t="str">
        <f t="shared" si="6"/>
        <v/>
      </c>
      <c r="I20" s="48">
        <f t="shared" si="7"/>
        <v>0</v>
      </c>
      <c r="J20" s="48" t="e">
        <f t="shared" si="0"/>
        <v>#N/A</v>
      </c>
      <c r="K20" s="48" t="e">
        <f t="shared" si="1"/>
        <v>#N/A</v>
      </c>
      <c r="L20" s="48">
        <f t="shared" si="2"/>
        <v>0</v>
      </c>
      <c r="M20" s="48" t="e">
        <f t="shared" si="3"/>
        <v>#N/A</v>
      </c>
      <c r="N20" s="48" t="str">
        <f t="shared" si="8"/>
        <v/>
      </c>
      <c r="O20" s="48" t="str">
        <f t="shared" si="9"/>
        <v/>
      </c>
      <c r="P20" s="48" t="e">
        <f t="shared" si="4"/>
        <v>#N/A</v>
      </c>
      <c r="Q20" s="48">
        <f t="shared" si="5"/>
        <v>0</v>
      </c>
    </row>
    <row r="21" spans="1:17" ht="50.1" customHeight="1" x14ac:dyDescent="0.25">
      <c r="A21" s="13">
        <v>18</v>
      </c>
      <c r="B21" s="25"/>
      <c r="C21" s="104"/>
      <c r="D21" s="25"/>
      <c r="E21" s="9"/>
      <c r="F21" s="9"/>
      <c r="G21" s="16"/>
      <c r="H21" s="11" t="str">
        <f t="shared" si="6"/>
        <v/>
      </c>
      <c r="I21" s="48">
        <f t="shared" si="7"/>
        <v>0</v>
      </c>
      <c r="J21" s="48" t="e">
        <f t="shared" si="0"/>
        <v>#N/A</v>
      </c>
      <c r="K21" s="48" t="e">
        <f t="shared" si="1"/>
        <v>#N/A</v>
      </c>
      <c r="L21" s="48">
        <f t="shared" si="2"/>
        <v>0</v>
      </c>
      <c r="M21" s="48" t="e">
        <f t="shared" si="3"/>
        <v>#N/A</v>
      </c>
      <c r="N21" s="48" t="str">
        <f t="shared" si="8"/>
        <v/>
      </c>
      <c r="O21" s="48" t="str">
        <f t="shared" si="9"/>
        <v/>
      </c>
      <c r="P21" s="48" t="e">
        <f t="shared" si="4"/>
        <v>#N/A</v>
      </c>
      <c r="Q21" s="48">
        <f t="shared" si="5"/>
        <v>0</v>
      </c>
    </row>
    <row r="22" spans="1:17" ht="50.1" customHeight="1" x14ac:dyDescent="0.25">
      <c r="A22" s="13">
        <v>19</v>
      </c>
      <c r="B22" s="25"/>
      <c r="C22" s="104"/>
      <c r="D22" s="25"/>
      <c r="E22" s="9"/>
      <c r="F22" s="9"/>
      <c r="G22" s="16"/>
      <c r="H22" s="11" t="str">
        <f t="shared" si="6"/>
        <v/>
      </c>
      <c r="I22" s="48">
        <f t="shared" si="7"/>
        <v>0</v>
      </c>
      <c r="J22" s="48" t="e">
        <f t="shared" si="0"/>
        <v>#N/A</v>
      </c>
      <c r="K22" s="48" t="e">
        <f t="shared" si="1"/>
        <v>#N/A</v>
      </c>
      <c r="L22" s="48">
        <f t="shared" si="2"/>
        <v>0</v>
      </c>
      <c r="M22" s="48" t="e">
        <f t="shared" si="3"/>
        <v>#N/A</v>
      </c>
      <c r="N22" s="48" t="str">
        <f t="shared" si="8"/>
        <v/>
      </c>
      <c r="O22" s="48" t="str">
        <f t="shared" si="9"/>
        <v/>
      </c>
      <c r="P22" s="48" t="e">
        <f t="shared" si="4"/>
        <v>#N/A</v>
      </c>
      <c r="Q22" s="48">
        <f t="shared" si="5"/>
        <v>0</v>
      </c>
    </row>
    <row r="23" spans="1:17" ht="50.1" customHeight="1" x14ac:dyDescent="0.25">
      <c r="A23" s="13">
        <v>20</v>
      </c>
      <c r="B23" s="25"/>
      <c r="C23" s="104"/>
      <c r="D23" s="25"/>
      <c r="E23" s="9"/>
      <c r="F23" s="9"/>
      <c r="G23" s="16"/>
      <c r="H23" s="11" t="str">
        <f t="shared" si="6"/>
        <v/>
      </c>
      <c r="I23" s="48">
        <f t="shared" si="7"/>
        <v>0</v>
      </c>
      <c r="J23" s="48" t="e">
        <f t="shared" si="0"/>
        <v>#N/A</v>
      </c>
      <c r="K23" s="48" t="e">
        <f t="shared" si="1"/>
        <v>#N/A</v>
      </c>
      <c r="L23" s="48">
        <f t="shared" si="2"/>
        <v>0</v>
      </c>
      <c r="M23" s="48" t="e">
        <f t="shared" si="3"/>
        <v>#N/A</v>
      </c>
      <c r="N23" s="48" t="str">
        <f t="shared" si="8"/>
        <v/>
      </c>
      <c r="O23" s="48" t="str">
        <f t="shared" si="9"/>
        <v/>
      </c>
      <c r="P23" s="48" t="e">
        <f t="shared" si="4"/>
        <v>#N/A</v>
      </c>
      <c r="Q23" s="48">
        <f t="shared" si="5"/>
        <v>0</v>
      </c>
    </row>
    <row r="24" spans="1:17" ht="50.1" customHeight="1" x14ac:dyDescent="0.25">
      <c r="A24" s="13">
        <v>21</v>
      </c>
      <c r="B24" s="25"/>
      <c r="C24" s="104"/>
      <c r="D24" s="25"/>
      <c r="E24" s="9"/>
      <c r="F24" s="9"/>
      <c r="G24" s="16"/>
      <c r="H24" s="11" t="str">
        <f t="shared" si="6"/>
        <v/>
      </c>
      <c r="I24" s="48">
        <f t="shared" si="7"/>
        <v>0</v>
      </c>
      <c r="J24" s="48" t="e">
        <f t="shared" si="0"/>
        <v>#N/A</v>
      </c>
      <c r="K24" s="48" t="e">
        <f t="shared" si="1"/>
        <v>#N/A</v>
      </c>
      <c r="L24" s="48">
        <f t="shared" si="2"/>
        <v>0</v>
      </c>
      <c r="M24" s="48" t="e">
        <f t="shared" si="3"/>
        <v>#N/A</v>
      </c>
      <c r="N24" s="48" t="str">
        <f t="shared" si="8"/>
        <v/>
      </c>
      <c r="O24" s="48" t="str">
        <f t="shared" si="9"/>
        <v/>
      </c>
      <c r="P24" s="48" t="e">
        <f t="shared" si="4"/>
        <v>#N/A</v>
      </c>
      <c r="Q24" s="48">
        <f t="shared" si="5"/>
        <v>0</v>
      </c>
    </row>
    <row r="25" spans="1:17" ht="50.1" customHeight="1" x14ac:dyDescent="0.25">
      <c r="A25" s="13">
        <v>22</v>
      </c>
      <c r="B25" s="25"/>
      <c r="C25" s="104"/>
      <c r="D25" s="25"/>
      <c r="E25" s="9"/>
      <c r="F25" s="9"/>
      <c r="G25" s="16"/>
      <c r="H25" s="11" t="str">
        <f t="shared" si="6"/>
        <v/>
      </c>
      <c r="I25" s="48">
        <f t="shared" si="7"/>
        <v>0</v>
      </c>
      <c r="J25" s="48" t="e">
        <f t="shared" si="0"/>
        <v>#N/A</v>
      </c>
      <c r="K25" s="48" t="e">
        <f t="shared" si="1"/>
        <v>#N/A</v>
      </c>
      <c r="L25" s="48">
        <f t="shared" si="2"/>
        <v>0</v>
      </c>
      <c r="M25" s="48" t="e">
        <f t="shared" si="3"/>
        <v>#N/A</v>
      </c>
      <c r="N25" s="48" t="str">
        <f t="shared" si="8"/>
        <v/>
      </c>
      <c r="O25" s="48" t="str">
        <f t="shared" si="9"/>
        <v/>
      </c>
      <c r="P25" s="48" t="e">
        <f t="shared" si="4"/>
        <v>#N/A</v>
      </c>
      <c r="Q25" s="48">
        <f t="shared" si="5"/>
        <v>0</v>
      </c>
    </row>
    <row r="26" spans="1:17" ht="50.1" customHeight="1" x14ac:dyDescent="0.25">
      <c r="A26" s="13">
        <v>23</v>
      </c>
      <c r="B26" s="25"/>
      <c r="C26" s="104"/>
      <c r="D26" s="25"/>
      <c r="E26" s="9"/>
      <c r="F26" s="9"/>
      <c r="G26" s="16"/>
      <c r="H26" s="11" t="str">
        <f t="shared" si="6"/>
        <v/>
      </c>
      <c r="I26" s="48">
        <f t="shared" si="7"/>
        <v>0</v>
      </c>
      <c r="J26" s="48" t="e">
        <f t="shared" si="0"/>
        <v>#N/A</v>
      </c>
      <c r="K26" s="48" t="e">
        <f t="shared" si="1"/>
        <v>#N/A</v>
      </c>
      <c r="L26" s="48">
        <f t="shared" si="2"/>
        <v>0</v>
      </c>
      <c r="M26" s="48" t="e">
        <f t="shared" si="3"/>
        <v>#N/A</v>
      </c>
      <c r="N26" s="48" t="str">
        <f t="shared" si="8"/>
        <v/>
      </c>
      <c r="O26" s="48" t="str">
        <f t="shared" si="9"/>
        <v/>
      </c>
      <c r="P26" s="48" t="e">
        <f t="shared" si="4"/>
        <v>#N/A</v>
      </c>
      <c r="Q26" s="48">
        <f t="shared" si="5"/>
        <v>0</v>
      </c>
    </row>
    <row r="27" spans="1:17" ht="50.1" customHeight="1" x14ac:dyDescent="0.25">
      <c r="A27" s="13">
        <v>24</v>
      </c>
      <c r="B27" s="25"/>
      <c r="C27" s="104"/>
      <c r="D27" s="25"/>
      <c r="E27" s="9"/>
      <c r="F27" s="9"/>
      <c r="G27" s="16"/>
      <c r="H27" s="11" t="str">
        <f t="shared" si="6"/>
        <v/>
      </c>
      <c r="I27" s="48">
        <f t="shared" si="7"/>
        <v>0</v>
      </c>
      <c r="J27" s="48" t="e">
        <f t="shared" si="0"/>
        <v>#N/A</v>
      </c>
      <c r="K27" s="48" t="e">
        <f t="shared" si="1"/>
        <v>#N/A</v>
      </c>
      <c r="L27" s="48">
        <f t="shared" si="2"/>
        <v>0</v>
      </c>
      <c r="M27" s="48" t="e">
        <f t="shared" si="3"/>
        <v>#N/A</v>
      </c>
      <c r="N27" s="48" t="str">
        <f t="shared" si="8"/>
        <v/>
      </c>
      <c r="O27" s="48" t="str">
        <f t="shared" si="9"/>
        <v/>
      </c>
      <c r="P27" s="48" t="e">
        <f t="shared" si="4"/>
        <v>#N/A</v>
      </c>
      <c r="Q27" s="48">
        <f t="shared" si="5"/>
        <v>0</v>
      </c>
    </row>
    <row r="28" spans="1:17" ht="50.1" customHeight="1" x14ac:dyDescent="0.25">
      <c r="A28" s="13">
        <v>25</v>
      </c>
      <c r="B28" s="25"/>
      <c r="C28" s="104"/>
      <c r="D28" s="25"/>
      <c r="E28" s="9"/>
      <c r="F28" s="9"/>
      <c r="G28" s="16"/>
      <c r="H28" s="11" t="str">
        <f t="shared" si="6"/>
        <v/>
      </c>
      <c r="I28" s="48">
        <f t="shared" si="7"/>
        <v>0</v>
      </c>
      <c r="J28" s="48" t="e">
        <f t="shared" si="0"/>
        <v>#N/A</v>
      </c>
      <c r="K28" s="48" t="e">
        <f t="shared" si="1"/>
        <v>#N/A</v>
      </c>
      <c r="L28" s="48">
        <f t="shared" si="2"/>
        <v>0</v>
      </c>
      <c r="M28" s="48" t="e">
        <f t="shared" si="3"/>
        <v>#N/A</v>
      </c>
      <c r="N28" s="48" t="str">
        <f t="shared" si="8"/>
        <v/>
      </c>
      <c r="O28" s="48" t="str">
        <f t="shared" si="9"/>
        <v/>
      </c>
      <c r="P28" s="48" t="e">
        <f t="shared" si="4"/>
        <v>#N/A</v>
      </c>
      <c r="Q28" s="48">
        <f t="shared" si="5"/>
        <v>0</v>
      </c>
    </row>
    <row r="29" spans="1:17" s="70" customFormat="1" ht="20.100000000000001" customHeight="1" x14ac:dyDescent="0.25">
      <c r="A29" s="65"/>
      <c r="B29" s="66"/>
      <c r="C29" s="66"/>
      <c r="D29" s="66"/>
      <c r="E29" s="66"/>
      <c r="F29" s="66"/>
      <c r="G29" s="67" t="s">
        <v>43</v>
      </c>
      <c r="H29" s="68">
        <f>SUM(H4:H28)</f>
        <v>0</v>
      </c>
      <c r="I29" s="69"/>
      <c r="J29" s="69"/>
      <c r="K29" s="69"/>
      <c r="L29" s="69"/>
      <c r="M29" s="69"/>
      <c r="N29" s="69"/>
      <c r="O29" s="69"/>
      <c r="P29" s="69"/>
      <c r="Q29" s="69">
        <f>SUM(Q4:Q28)</f>
        <v>0</v>
      </c>
    </row>
  </sheetData>
  <sheetProtection password="F660" sheet="1" objects="1" scenarios="1" formatCells="0"/>
  <dataValidations count="4">
    <dataValidation type="whole" operator="greaterThanOrEqual" allowBlank="1" showInputMessage="1" showErrorMessage="1" errorTitle="Lỗi" error="Vui lòng nhập đúng tổng số người tham gia (&gt;=0)!" sqref="G4:G28">
      <formula1>0</formula1>
    </dataValidation>
    <dataValidation type="list" allowBlank="1" showInputMessage="1" showErrorMessage="1" errorTitle="Lỗi" error="Vui lòng chỉ chọn các hình thức có trong danh sách" sqref="E4:E28">
      <formula1>HINHTHUCTHAMGIA</formula1>
    </dataValidation>
    <dataValidation type="list" allowBlank="1" showInputMessage="1" showErrorMessage="1" errorTitle="Lỗi" error="Vui lòng chỉ chọn các cấp có trong danh sách" sqref="D4:D28">
      <formula1>BAIBAO</formula1>
    </dataValidation>
    <dataValidation type="whole" operator="greaterThan" allowBlank="1" showInputMessage="1" showErrorMessage="1" errorTitle="Lỗi" error="Vui lòng nhập đúng số tác giả chính (&gt;0) !" sqref="F4:F28">
      <formula1>0</formula1>
    </dataValidation>
  </dataValidations>
  <printOptions horizontalCentered="1"/>
  <pageMargins left="0.2" right="0.2" top="0.5" bottom="0.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4"/>
  <sheetViews>
    <sheetView zoomScaleNormal="100" zoomScaleSheetLayoutView="100" workbookViewId="0">
      <pane ySplit="3" topLeftCell="A4" activePane="bottomLeft" state="frozen"/>
      <selection pane="bottomLeft" activeCell="B5" sqref="B5"/>
    </sheetView>
  </sheetViews>
  <sheetFormatPr defaultRowHeight="15" x14ac:dyDescent="0.25"/>
  <cols>
    <col min="1" max="1" width="3.7109375" style="36" customWidth="1"/>
    <col min="2" max="2" width="41.28515625" style="36" customWidth="1"/>
    <col min="3" max="3" width="30.7109375" style="36" customWidth="1"/>
    <col min="4" max="4" width="48" style="36" customWidth="1"/>
    <col min="5" max="5" width="13.85546875" style="36" customWidth="1"/>
    <col min="6" max="6" width="10.5703125" style="36" customWidth="1"/>
    <col min="7" max="7" width="19.140625" style="36" customWidth="1"/>
    <col min="8" max="8" width="12.140625" style="36" customWidth="1"/>
    <col min="9" max="9" width="9.140625" style="36"/>
    <col min="10" max="10" width="14.28515625" style="86" hidden="1" customWidth="1"/>
    <col min="11" max="11" width="14" style="80" hidden="1" customWidth="1"/>
    <col min="12" max="12" width="13" style="86" hidden="1" customWidth="1"/>
    <col min="13" max="13" width="9.140625" style="86" hidden="1" customWidth="1"/>
    <col min="14" max="14" width="9.140625" style="87" hidden="1" customWidth="1"/>
    <col min="15" max="15" width="10" style="88" hidden="1" customWidth="1"/>
    <col min="16" max="16" width="16" style="89" hidden="1" customWidth="1"/>
    <col min="17" max="17" width="14.85546875" style="89" hidden="1" customWidth="1"/>
    <col min="18" max="18" width="9.140625" style="89" hidden="1" customWidth="1"/>
    <col min="19" max="16384" width="9.140625" style="36"/>
  </cols>
  <sheetData>
    <row r="1" spans="1:23" x14ac:dyDescent="0.25">
      <c r="A1" s="98"/>
      <c r="B1" s="98"/>
      <c r="C1" s="98"/>
      <c r="D1" s="98"/>
      <c r="E1" s="98"/>
      <c r="F1" s="98"/>
      <c r="G1" s="98"/>
      <c r="H1" s="98"/>
      <c r="I1" s="98"/>
      <c r="J1" s="81"/>
      <c r="K1" s="77"/>
      <c r="L1" s="81"/>
      <c r="M1" s="81"/>
      <c r="N1" s="82"/>
      <c r="O1" s="83"/>
      <c r="P1" s="84"/>
      <c r="Q1" s="84"/>
      <c r="R1" s="84"/>
    </row>
    <row r="2" spans="1:23" ht="24.95" customHeight="1" x14ac:dyDescent="0.25">
      <c r="A2" s="18" t="s">
        <v>76</v>
      </c>
      <c r="B2" s="4"/>
      <c r="C2" s="4"/>
      <c r="D2" s="4"/>
      <c r="E2" s="4"/>
      <c r="F2" s="4"/>
      <c r="G2" s="4"/>
      <c r="H2" s="4"/>
      <c r="I2" s="4"/>
      <c r="J2" s="81"/>
      <c r="K2" s="77"/>
      <c r="L2" s="81"/>
      <c r="M2" s="81"/>
      <c r="N2" s="82"/>
      <c r="O2" s="83"/>
      <c r="P2" s="84"/>
      <c r="Q2" s="84"/>
      <c r="R2" s="84"/>
    </row>
    <row r="3" spans="1:23" ht="44.25" customHeight="1" x14ac:dyDescent="0.25">
      <c r="A3" s="23" t="s">
        <v>40</v>
      </c>
      <c r="B3" s="24" t="s">
        <v>51</v>
      </c>
      <c r="C3" s="24" t="s">
        <v>110</v>
      </c>
      <c r="D3" s="24" t="s">
        <v>118</v>
      </c>
      <c r="E3" s="24" t="s">
        <v>37</v>
      </c>
      <c r="F3" s="24" t="s">
        <v>224</v>
      </c>
      <c r="G3" s="24" t="s">
        <v>222</v>
      </c>
      <c r="H3" s="24" t="s">
        <v>119</v>
      </c>
      <c r="I3" s="24" t="s">
        <v>50</v>
      </c>
      <c r="J3" s="45" t="s">
        <v>27</v>
      </c>
      <c r="K3" s="76" t="s">
        <v>28</v>
      </c>
      <c r="L3" s="76" t="s">
        <v>120</v>
      </c>
      <c r="M3" s="76" t="s">
        <v>30</v>
      </c>
      <c r="N3" s="76" t="s">
        <v>113</v>
      </c>
      <c r="O3" s="76" t="s">
        <v>227</v>
      </c>
      <c r="P3" s="76" t="s">
        <v>157</v>
      </c>
      <c r="Q3" s="76" t="s">
        <v>158</v>
      </c>
      <c r="R3" s="76" t="s">
        <v>32</v>
      </c>
      <c r="S3" s="75"/>
      <c r="T3" s="75"/>
      <c r="U3" s="75"/>
      <c r="V3" s="75"/>
      <c r="W3" s="74"/>
    </row>
    <row r="4" spans="1:23" ht="20.100000000000001" customHeight="1" x14ac:dyDescent="0.25">
      <c r="A4" s="186" t="s">
        <v>156</v>
      </c>
      <c r="B4" s="187"/>
      <c r="C4" s="187"/>
      <c r="D4" s="187"/>
      <c r="E4" s="187"/>
      <c r="F4" s="187"/>
      <c r="G4" s="187"/>
      <c r="H4" s="187"/>
      <c r="I4" s="188"/>
      <c r="J4" s="45"/>
      <c r="K4" s="78"/>
      <c r="L4" s="85"/>
      <c r="M4" s="85"/>
      <c r="N4" s="85"/>
      <c r="O4" s="85"/>
      <c r="P4" s="85"/>
      <c r="Q4" s="85"/>
      <c r="R4" s="85"/>
    </row>
    <row r="5" spans="1:23" ht="39.950000000000003" customHeight="1" x14ac:dyDescent="0.25">
      <c r="A5" s="13">
        <v>1</v>
      </c>
      <c r="B5" s="25"/>
      <c r="C5" s="25"/>
      <c r="D5" s="104"/>
      <c r="E5" s="9"/>
      <c r="F5" s="9"/>
      <c r="G5" s="9"/>
      <c r="H5" s="97" t="s">
        <v>48</v>
      </c>
      <c r="I5" s="10" t="str">
        <f>IF(M5=1,ROUND(R5,1),"")</f>
        <v/>
      </c>
      <c r="J5" s="79">
        <f>IF(AND(B5&lt;&gt;"",C5&lt;&gt;"",D5&lt;&gt;"",E5&lt;&gt;"",F5&lt;&gt;"",G5&lt;&gt;"",H5&lt;&gt;""),1,0)</f>
        <v>0</v>
      </c>
      <c r="K5" s="78" t="e">
        <f>IF(AND(VLOOKUP(E5,HINHTHUC_CONGTRINH_LOOKUP,2,FALSE)=0,F5=""),0,1)</f>
        <v>#N/A</v>
      </c>
      <c r="L5" s="85" t="e">
        <f>IF(AND(VLOOKUP(E5,HINHTHUC_CONGTRINH_LOOKUP,2,FALSE)&gt;0,OR(G5="",G5&lt;1)),0,1)</f>
        <v>#N/A</v>
      </c>
      <c r="M5" s="85">
        <f>IF(ISNUMBER(J5*K5*L5),J5*K5*L5,0)</f>
        <v>0</v>
      </c>
      <c r="N5" s="149" t="s">
        <v>48</v>
      </c>
      <c r="O5" s="85" t="str">
        <f>IF(M5,VLOOKUP(C5,SANGCHE_LOOKUP,2,FALSE),"")</f>
        <v/>
      </c>
      <c r="P5" s="85" t="str">
        <f>IF(M5,ROUND(O5*(1/3)/F5,1),"")</f>
        <v/>
      </c>
      <c r="Q5" s="85" t="str">
        <f>IF(M5,ROUND(O5*(2/3)/(F5+G5),1),"")</f>
        <v/>
      </c>
      <c r="R5" s="85" t="e">
        <f>IF(VLOOKUP(E5,HINHTHUC_CONGTRINH_LOOKUP,2,FALSE)=1,Q5,P5+Q5)</f>
        <v>#N/A</v>
      </c>
    </row>
    <row r="6" spans="1:23" ht="39.950000000000003" customHeight="1" x14ac:dyDescent="0.25">
      <c r="A6" s="13">
        <v>2</v>
      </c>
      <c r="B6" s="25"/>
      <c r="C6" s="25"/>
      <c r="D6" s="104"/>
      <c r="E6" s="9"/>
      <c r="F6" s="9"/>
      <c r="G6" s="9"/>
      <c r="H6" s="97" t="s">
        <v>48</v>
      </c>
      <c r="I6" s="10" t="str">
        <f>IF(M6=1,ROUND(R6,1),"")</f>
        <v/>
      </c>
      <c r="J6" s="79">
        <f t="shared" ref="J6:J23" si="0">IF(AND(B6&lt;&gt;"",C6&lt;&gt;"",D6&lt;&gt;"",E6&lt;&gt;"",F6&lt;&gt;"",G6&lt;&gt;"",H6&lt;&gt;""),1,0)</f>
        <v>0</v>
      </c>
      <c r="K6" s="78" t="e">
        <f>IF(AND(VLOOKUP(E6,HINHTHUC_CONGTRINH_LOOKUP,2,FALSE)=0,F6=""),0,1)</f>
        <v>#N/A</v>
      </c>
      <c r="L6" s="85" t="e">
        <f>IF(AND(VLOOKUP(E6,HINHTHUC_CONGTRINH_LOOKUP,2,FALSE)&gt;0,OR(G6="",G6&lt;1)),0,1)</f>
        <v>#N/A</v>
      </c>
      <c r="M6" s="85">
        <f t="shared" ref="M6:M7" si="1">IF(ISNUMBER(J6*K6*L6),J6*K6*L6,0)</f>
        <v>0</v>
      </c>
      <c r="N6" s="149" t="s">
        <v>48</v>
      </c>
      <c r="O6" s="85" t="str">
        <f>IF(M6,VLOOKUP(C6,SANGCHE_LOOKUP,2,FALSE),"")</f>
        <v/>
      </c>
      <c r="P6" s="85" t="str">
        <f t="shared" ref="P6:P23" si="2">IF(M6,ROUND(O6*(1/3)/F6,1),"")</f>
        <v/>
      </c>
      <c r="Q6" s="85" t="str">
        <f t="shared" ref="Q6:Q23" si="3">IF(M6,ROUND(O6*(2/3)/(F6+G6),1),"")</f>
        <v/>
      </c>
      <c r="R6" s="85" t="e">
        <f>IF(VLOOKUP(E6,HINHTHUC_CONGTRINH_LOOKUP,2,FALSE)=1,Q6,P6+Q6)</f>
        <v>#N/A</v>
      </c>
    </row>
    <row r="7" spans="1:23" ht="39.950000000000003" customHeight="1" x14ac:dyDescent="0.25">
      <c r="A7" s="13">
        <v>3</v>
      </c>
      <c r="B7" s="25"/>
      <c r="C7" s="25"/>
      <c r="D7" s="104"/>
      <c r="E7" s="9"/>
      <c r="F7" s="9"/>
      <c r="G7" s="9"/>
      <c r="H7" s="97" t="s">
        <v>48</v>
      </c>
      <c r="I7" s="10" t="str">
        <f>IF(M7=1,ROUND(R7,1),"")</f>
        <v/>
      </c>
      <c r="J7" s="79">
        <f t="shared" si="0"/>
        <v>0</v>
      </c>
      <c r="K7" s="78" t="e">
        <f>IF(AND(VLOOKUP(E7,HINHTHUC_CONGTRINH_LOOKUP,2,FALSE)=0,F7=""),0,1)</f>
        <v>#N/A</v>
      </c>
      <c r="L7" s="85" t="e">
        <f>IF(AND(VLOOKUP(E7,HINHTHUC_CONGTRINH_LOOKUP,2,FALSE)&gt;0,OR(G7="",G7&lt;1)),0,1)</f>
        <v>#N/A</v>
      </c>
      <c r="M7" s="85">
        <f t="shared" si="1"/>
        <v>0</v>
      </c>
      <c r="N7" s="149" t="s">
        <v>48</v>
      </c>
      <c r="O7" s="85" t="str">
        <f>IF(M7,VLOOKUP(C7,SANGCHE_LOOKUP,2,FALSE),"")</f>
        <v/>
      </c>
      <c r="P7" s="85" t="str">
        <f t="shared" si="2"/>
        <v/>
      </c>
      <c r="Q7" s="85" t="str">
        <f t="shared" si="3"/>
        <v/>
      </c>
      <c r="R7" s="85" t="e">
        <f>IF(VLOOKUP(E7,HINHTHUC_CONGTRINH_LOOKUP,2,FALSE)=1,Q7,P7+Q7)</f>
        <v>#N/A</v>
      </c>
    </row>
    <row r="8" spans="1:23" s="73" customFormat="1" ht="20.100000000000001" customHeight="1" x14ac:dyDescent="0.2">
      <c r="A8" s="186" t="s">
        <v>111</v>
      </c>
      <c r="B8" s="189"/>
      <c r="C8" s="189"/>
      <c r="D8" s="189"/>
      <c r="E8" s="189"/>
      <c r="F8" s="189"/>
      <c r="G8" s="189"/>
      <c r="H8" s="189"/>
      <c r="I8" s="190"/>
      <c r="J8" s="79"/>
      <c r="K8" s="78"/>
      <c r="L8" s="85"/>
      <c r="M8" s="85"/>
      <c r="N8" s="150"/>
      <c r="O8" s="150"/>
      <c r="P8" s="85"/>
      <c r="Q8" s="85"/>
      <c r="R8" s="85"/>
    </row>
    <row r="9" spans="1:23" s="73" customFormat="1" ht="20.100000000000001" customHeight="1" x14ac:dyDescent="0.2">
      <c r="A9" s="191" t="s">
        <v>228</v>
      </c>
      <c r="B9" s="192"/>
      <c r="C9" s="192"/>
      <c r="D9" s="192"/>
      <c r="E9" s="192"/>
      <c r="F9" s="192"/>
      <c r="G9" s="192"/>
      <c r="H9" s="192"/>
      <c r="I9" s="193"/>
      <c r="J9" s="79"/>
      <c r="K9" s="78"/>
      <c r="L9" s="85"/>
      <c r="M9" s="85"/>
      <c r="N9" s="150"/>
      <c r="O9" s="150"/>
      <c r="P9" s="85"/>
      <c r="Q9" s="85"/>
      <c r="R9" s="85"/>
    </row>
    <row r="10" spans="1:23" ht="39.950000000000003" customHeight="1" x14ac:dyDescent="0.25">
      <c r="A10" s="13">
        <v>1</v>
      </c>
      <c r="B10" s="25"/>
      <c r="C10" s="25"/>
      <c r="D10" s="104"/>
      <c r="E10" s="9"/>
      <c r="F10" s="9"/>
      <c r="G10" s="9"/>
      <c r="H10" s="9"/>
      <c r="I10" s="10" t="str">
        <f>IF(M10=1,ROUND(R10,1),"")</f>
        <v/>
      </c>
      <c r="J10" s="79">
        <f t="shared" si="0"/>
        <v>0</v>
      </c>
      <c r="K10" s="78" t="e">
        <f>IF(AND(VLOOKUP(E10,HINHTHUC_CONGTRINH_LOOKUP,2,FALSE)=0,F10=""),0,1)</f>
        <v>#N/A</v>
      </c>
      <c r="L10" s="85" t="e">
        <f>IF(AND(VLOOKUP(E10,HINHTHUC_CONGTRINH_LOOKUP,2,FALSE)&gt;0,OR(G10="",G10&lt;1)),0,1)</f>
        <v>#N/A</v>
      </c>
      <c r="M10" s="85">
        <f t="shared" ref="M10:M23" si="4">IF(ISNUMBER(J10*K10*L10),J10*K10*L10,0)</f>
        <v>0</v>
      </c>
      <c r="N10" s="85" t="str">
        <f>IF(M10,VLOOKUP(H10,KETQUA_LOOKUP,2,FALSE),"")</f>
        <v/>
      </c>
      <c r="O10" s="85" t="str">
        <f>IF(M10,VLOOKUP(C10,GIAITHUONG_LOOKUP,N10,FALSE),"")</f>
        <v/>
      </c>
      <c r="P10" s="85" t="str">
        <f t="shared" si="2"/>
        <v/>
      </c>
      <c r="Q10" s="85" t="str">
        <f t="shared" si="3"/>
        <v/>
      </c>
      <c r="R10" s="85" t="e">
        <f>IF(VLOOKUP(E10,HINHTHUC_CONGTRINH_LOOKUP,2,FALSE)=1,Q10,P10+Q10)</f>
        <v>#N/A</v>
      </c>
    </row>
    <row r="11" spans="1:23" ht="39.950000000000003" customHeight="1" x14ac:dyDescent="0.25">
      <c r="A11" s="13">
        <v>2</v>
      </c>
      <c r="B11" s="25"/>
      <c r="C11" s="25"/>
      <c r="D11" s="104"/>
      <c r="E11" s="9"/>
      <c r="F11" s="9"/>
      <c r="G11" s="9"/>
      <c r="H11" s="9"/>
      <c r="I11" s="10" t="str">
        <f>IF(M11=1,ROUND(R11,1),"")</f>
        <v/>
      </c>
      <c r="J11" s="79">
        <f t="shared" si="0"/>
        <v>0</v>
      </c>
      <c r="K11" s="78" t="e">
        <f>IF(AND(VLOOKUP(E11,HINHTHUC_CONGTRINH_LOOKUP,2,FALSE)=0,F11=""),0,1)</f>
        <v>#N/A</v>
      </c>
      <c r="L11" s="85" t="e">
        <f>IF(AND(VLOOKUP(E11,HINHTHUC_CONGTRINH_LOOKUP,2,FALSE)&gt;0,OR(G11="",G11&lt;1)),0,1)</f>
        <v>#N/A</v>
      </c>
      <c r="M11" s="85">
        <f t="shared" si="4"/>
        <v>0</v>
      </c>
      <c r="N11" s="85" t="str">
        <f>IF(M11,VLOOKUP(H11,KETQUA_LOOKUP,2,FALSE),"")</f>
        <v/>
      </c>
      <c r="O11" s="85" t="str">
        <f>IF(M11,VLOOKUP(C11,GIAITHUONG_LOOKUP,N11,FALSE),"")</f>
        <v/>
      </c>
      <c r="P11" s="85" t="str">
        <f t="shared" si="2"/>
        <v/>
      </c>
      <c r="Q11" s="85" t="str">
        <f t="shared" si="3"/>
        <v/>
      </c>
      <c r="R11" s="85" t="e">
        <f>IF(VLOOKUP(E11,HINHTHUC_CONGTRINH_LOOKUP,2,FALSE)=1,Q11,P11+Q11)</f>
        <v>#N/A</v>
      </c>
    </row>
    <row r="12" spans="1:23" ht="39.950000000000003" customHeight="1" x14ac:dyDescent="0.25">
      <c r="A12" s="13">
        <v>3</v>
      </c>
      <c r="B12" s="25"/>
      <c r="C12" s="25"/>
      <c r="D12" s="104"/>
      <c r="E12" s="9"/>
      <c r="F12" s="9"/>
      <c r="G12" s="9"/>
      <c r="H12" s="9"/>
      <c r="I12" s="10" t="str">
        <f>IF(M12=1,ROUND(R12,1),"")</f>
        <v/>
      </c>
      <c r="J12" s="79">
        <f t="shared" si="0"/>
        <v>0</v>
      </c>
      <c r="K12" s="78" t="e">
        <f>IF(AND(VLOOKUP(E12,HINHTHUC_CONGTRINH_LOOKUP,2,FALSE)=0,F12=""),0,1)</f>
        <v>#N/A</v>
      </c>
      <c r="L12" s="85" t="e">
        <f>IF(AND(VLOOKUP(E12,HINHTHUC_CONGTRINH_LOOKUP,2,FALSE)&gt;0,OR(G12="",G12&lt;1)),0,1)</f>
        <v>#N/A</v>
      </c>
      <c r="M12" s="85">
        <f t="shared" si="4"/>
        <v>0</v>
      </c>
      <c r="N12" s="85" t="str">
        <f>IF(M12,VLOOKUP(H12,KETQUA_LOOKUP,2,FALSE),"")</f>
        <v/>
      </c>
      <c r="O12" s="85" t="str">
        <f>IF(M12,VLOOKUP(C12,GIAITHUONG_LOOKUP,N12,FALSE),"")</f>
        <v/>
      </c>
      <c r="P12" s="85" t="str">
        <f t="shared" si="2"/>
        <v/>
      </c>
      <c r="Q12" s="85" t="str">
        <f t="shared" si="3"/>
        <v/>
      </c>
      <c r="R12" s="85" t="e">
        <f>IF(VLOOKUP(E12,HINHTHUC_CONGTRINH_LOOKUP,2,FALSE)=1,Q12,P12+Q12)</f>
        <v>#N/A</v>
      </c>
    </row>
    <row r="13" spans="1:23" ht="39.950000000000003" customHeight="1" x14ac:dyDescent="0.25">
      <c r="A13" s="13">
        <v>4</v>
      </c>
      <c r="B13" s="25"/>
      <c r="C13" s="25"/>
      <c r="D13" s="104"/>
      <c r="E13" s="9"/>
      <c r="F13" s="9"/>
      <c r="G13" s="9"/>
      <c r="H13" s="9"/>
      <c r="I13" s="10" t="str">
        <f>IF(M13=1,ROUND(R13,1),"")</f>
        <v/>
      </c>
      <c r="J13" s="79">
        <f t="shared" si="0"/>
        <v>0</v>
      </c>
      <c r="K13" s="78" t="e">
        <f>IF(AND(VLOOKUP(E13,HINHTHUC_CONGTRINH_LOOKUP,2,FALSE)=0,F13=""),0,1)</f>
        <v>#N/A</v>
      </c>
      <c r="L13" s="85" t="e">
        <f>IF(AND(VLOOKUP(E13,HINHTHUC_CONGTRINH_LOOKUP,2,FALSE)&gt;0,OR(G13="",G13&lt;1)),0,1)</f>
        <v>#N/A</v>
      </c>
      <c r="M13" s="85">
        <f t="shared" si="4"/>
        <v>0</v>
      </c>
      <c r="N13" s="85" t="str">
        <f>IF(M13,VLOOKUP(H13,KETQUA_LOOKUP,2,FALSE),"")</f>
        <v/>
      </c>
      <c r="O13" s="85" t="str">
        <f>IF(M13,VLOOKUP(C13,GIAITHUONG_LOOKUP,N13,FALSE),"")</f>
        <v/>
      </c>
      <c r="P13" s="85" t="str">
        <f t="shared" si="2"/>
        <v/>
      </c>
      <c r="Q13" s="85" t="str">
        <f t="shared" si="3"/>
        <v/>
      </c>
      <c r="R13" s="85" t="e">
        <f>IF(VLOOKUP(E13,HINHTHUC_CONGTRINH_LOOKUP,2,FALSE)=1,Q13,P13+Q13)</f>
        <v>#N/A</v>
      </c>
    </row>
    <row r="14" spans="1:23" ht="39.950000000000003" customHeight="1" x14ac:dyDescent="0.25">
      <c r="A14" s="13">
        <v>5</v>
      </c>
      <c r="B14" s="25"/>
      <c r="C14" s="25"/>
      <c r="D14" s="104"/>
      <c r="E14" s="9"/>
      <c r="F14" s="9"/>
      <c r="G14" s="9"/>
      <c r="H14" s="9"/>
      <c r="I14" s="10" t="str">
        <f>IF(M14=1,ROUND(R14,1),"")</f>
        <v/>
      </c>
      <c r="J14" s="79">
        <f t="shared" si="0"/>
        <v>0</v>
      </c>
      <c r="K14" s="78" t="e">
        <f>IF(AND(VLOOKUP(E14,HINHTHUC_CONGTRINH_LOOKUP,2,FALSE)=0,F14=""),0,1)</f>
        <v>#N/A</v>
      </c>
      <c r="L14" s="85" t="e">
        <f>IF(AND(VLOOKUP(E14,HINHTHUC_CONGTRINH_LOOKUP,2,FALSE)&gt;0,OR(G14="",G14&lt;1)),0,1)</f>
        <v>#N/A</v>
      </c>
      <c r="M14" s="85">
        <f t="shared" si="4"/>
        <v>0</v>
      </c>
      <c r="N14" s="85" t="str">
        <f>IF(M14,VLOOKUP(H14,KETQUA_LOOKUP,2,FALSE),"")</f>
        <v/>
      </c>
      <c r="O14" s="85" t="str">
        <f>IF(M14,VLOOKUP(C14,GIAITHUONG_LOOKUP,N14,FALSE),"")</f>
        <v/>
      </c>
      <c r="P14" s="85" t="str">
        <f t="shared" si="2"/>
        <v/>
      </c>
      <c r="Q14" s="85" t="str">
        <f t="shared" si="3"/>
        <v/>
      </c>
      <c r="R14" s="85" t="e">
        <f>IF(VLOOKUP(E14,HINHTHUC_CONGTRINH_LOOKUP,2,FALSE)=1,Q14,P14+Q14)</f>
        <v>#N/A</v>
      </c>
    </row>
    <row r="15" spans="1:23" ht="20.100000000000001" customHeight="1" x14ac:dyDescent="0.25">
      <c r="A15" s="186" t="s">
        <v>112</v>
      </c>
      <c r="B15" s="189"/>
      <c r="C15" s="189"/>
      <c r="D15" s="189"/>
      <c r="E15" s="189"/>
      <c r="F15" s="189"/>
      <c r="G15" s="189"/>
      <c r="H15" s="189"/>
      <c r="I15" s="190"/>
      <c r="J15" s="79"/>
      <c r="K15" s="78"/>
      <c r="L15" s="85"/>
      <c r="M15" s="85"/>
      <c r="N15" s="85"/>
      <c r="O15" s="85"/>
      <c r="P15" s="85"/>
      <c r="Q15" s="85"/>
      <c r="R15" s="85"/>
    </row>
    <row r="16" spans="1:23" ht="39.950000000000003" customHeight="1" x14ac:dyDescent="0.25">
      <c r="A16" s="13">
        <v>1</v>
      </c>
      <c r="B16" s="25"/>
      <c r="C16" s="25"/>
      <c r="D16" s="104"/>
      <c r="E16" s="9"/>
      <c r="F16" s="9"/>
      <c r="G16" s="9"/>
      <c r="H16" s="97" t="s">
        <v>48</v>
      </c>
      <c r="I16" s="10" t="str">
        <f t="shared" ref="I16:I23" si="5">IF(M16=1,ROUND(R16,1),"")</f>
        <v/>
      </c>
      <c r="J16" s="79">
        <f t="shared" si="0"/>
        <v>0</v>
      </c>
      <c r="K16" s="78" t="e">
        <f t="shared" ref="K16:K23" si="6">IF(AND(VLOOKUP(E16,HINHTHUC_CONGTRINH_LOOKUP,2,FALSE)=0,F16=""),0,1)</f>
        <v>#N/A</v>
      </c>
      <c r="L16" s="85" t="e">
        <f t="shared" ref="L16:L23" si="7">IF(AND(VLOOKUP(E16,HINHTHUC_CONGTRINH_LOOKUP,2,FALSE)&gt;0,OR(G16="",G16&lt;1)),0,1)</f>
        <v>#N/A</v>
      </c>
      <c r="M16" s="85">
        <f t="shared" si="4"/>
        <v>0</v>
      </c>
      <c r="N16" s="149" t="s">
        <v>48</v>
      </c>
      <c r="O16" s="85" t="str">
        <f t="shared" ref="O16:O23" si="8">IF(M16,VLOOKUP(C16,TRIENLAM_LOOKUP,2,FALSE),"")</f>
        <v/>
      </c>
      <c r="P16" s="85" t="str">
        <f t="shared" si="2"/>
        <v/>
      </c>
      <c r="Q16" s="85" t="str">
        <f t="shared" si="3"/>
        <v/>
      </c>
      <c r="R16" s="85" t="e">
        <f t="shared" ref="R16:R23" si="9">IF(VLOOKUP(E16,HINHTHUC_CONGTRINH_LOOKUP,2,FALSE)=1,Q16,P16+Q16)</f>
        <v>#N/A</v>
      </c>
    </row>
    <row r="17" spans="1:18" ht="39.950000000000003" customHeight="1" x14ac:dyDescent="0.25">
      <c r="A17" s="13">
        <v>2</v>
      </c>
      <c r="B17" s="25"/>
      <c r="C17" s="25"/>
      <c r="D17" s="104"/>
      <c r="E17" s="9"/>
      <c r="F17" s="9"/>
      <c r="G17" s="9"/>
      <c r="H17" s="97" t="s">
        <v>48</v>
      </c>
      <c r="I17" s="10" t="str">
        <f t="shared" si="5"/>
        <v/>
      </c>
      <c r="J17" s="79">
        <f t="shared" si="0"/>
        <v>0</v>
      </c>
      <c r="K17" s="78" t="e">
        <f t="shared" si="6"/>
        <v>#N/A</v>
      </c>
      <c r="L17" s="85" t="e">
        <f t="shared" si="7"/>
        <v>#N/A</v>
      </c>
      <c r="M17" s="85">
        <f t="shared" si="4"/>
        <v>0</v>
      </c>
      <c r="N17" s="149" t="s">
        <v>48</v>
      </c>
      <c r="O17" s="85" t="str">
        <f t="shared" si="8"/>
        <v/>
      </c>
      <c r="P17" s="85" t="str">
        <f t="shared" si="2"/>
        <v/>
      </c>
      <c r="Q17" s="85" t="str">
        <f t="shared" si="3"/>
        <v/>
      </c>
      <c r="R17" s="85" t="e">
        <f t="shared" si="9"/>
        <v>#N/A</v>
      </c>
    </row>
    <row r="18" spans="1:18" ht="39.950000000000003" customHeight="1" x14ac:dyDescent="0.25">
      <c r="A18" s="13">
        <v>3</v>
      </c>
      <c r="B18" s="25"/>
      <c r="C18" s="25"/>
      <c r="D18" s="104"/>
      <c r="E18" s="9"/>
      <c r="F18" s="9"/>
      <c r="G18" s="9"/>
      <c r="H18" s="97" t="s">
        <v>48</v>
      </c>
      <c r="I18" s="10" t="str">
        <f t="shared" si="5"/>
        <v/>
      </c>
      <c r="J18" s="79">
        <f t="shared" si="0"/>
        <v>0</v>
      </c>
      <c r="K18" s="78" t="e">
        <f t="shared" si="6"/>
        <v>#N/A</v>
      </c>
      <c r="L18" s="85" t="e">
        <f t="shared" si="7"/>
        <v>#N/A</v>
      </c>
      <c r="M18" s="85">
        <f t="shared" si="4"/>
        <v>0</v>
      </c>
      <c r="N18" s="149" t="s">
        <v>48</v>
      </c>
      <c r="O18" s="85" t="str">
        <f t="shared" si="8"/>
        <v/>
      </c>
      <c r="P18" s="85" t="str">
        <f t="shared" si="2"/>
        <v/>
      </c>
      <c r="Q18" s="85" t="str">
        <f t="shared" si="3"/>
        <v/>
      </c>
      <c r="R18" s="85" t="e">
        <f t="shared" si="9"/>
        <v>#N/A</v>
      </c>
    </row>
    <row r="19" spans="1:18" ht="39.950000000000003" customHeight="1" x14ac:dyDescent="0.25">
      <c r="A19" s="13">
        <v>4</v>
      </c>
      <c r="B19" s="25"/>
      <c r="C19" s="25"/>
      <c r="D19" s="104"/>
      <c r="E19" s="9"/>
      <c r="F19" s="9"/>
      <c r="G19" s="9"/>
      <c r="H19" s="97" t="s">
        <v>48</v>
      </c>
      <c r="I19" s="10" t="str">
        <f t="shared" si="5"/>
        <v/>
      </c>
      <c r="J19" s="79">
        <f t="shared" si="0"/>
        <v>0</v>
      </c>
      <c r="K19" s="78" t="e">
        <f t="shared" si="6"/>
        <v>#N/A</v>
      </c>
      <c r="L19" s="85" t="e">
        <f t="shared" si="7"/>
        <v>#N/A</v>
      </c>
      <c r="M19" s="85">
        <f t="shared" si="4"/>
        <v>0</v>
      </c>
      <c r="N19" s="149" t="s">
        <v>48</v>
      </c>
      <c r="O19" s="85" t="str">
        <f t="shared" si="8"/>
        <v/>
      </c>
      <c r="P19" s="85" t="str">
        <f t="shared" si="2"/>
        <v/>
      </c>
      <c r="Q19" s="85" t="str">
        <f t="shared" si="3"/>
        <v/>
      </c>
      <c r="R19" s="85" t="e">
        <f t="shared" si="9"/>
        <v>#N/A</v>
      </c>
    </row>
    <row r="20" spans="1:18" ht="39.950000000000003" customHeight="1" x14ac:dyDescent="0.25">
      <c r="A20" s="13">
        <v>5</v>
      </c>
      <c r="B20" s="25"/>
      <c r="C20" s="25"/>
      <c r="D20" s="104"/>
      <c r="E20" s="9"/>
      <c r="F20" s="9"/>
      <c r="G20" s="9"/>
      <c r="H20" s="97" t="s">
        <v>48</v>
      </c>
      <c r="I20" s="10" t="str">
        <f t="shared" si="5"/>
        <v/>
      </c>
      <c r="J20" s="79">
        <f t="shared" si="0"/>
        <v>0</v>
      </c>
      <c r="K20" s="78" t="e">
        <f t="shared" si="6"/>
        <v>#N/A</v>
      </c>
      <c r="L20" s="85" t="e">
        <f t="shared" si="7"/>
        <v>#N/A</v>
      </c>
      <c r="M20" s="85">
        <f t="shared" si="4"/>
        <v>0</v>
      </c>
      <c r="N20" s="149" t="s">
        <v>48</v>
      </c>
      <c r="O20" s="85" t="str">
        <f t="shared" si="8"/>
        <v/>
      </c>
      <c r="P20" s="85" t="str">
        <f t="shared" si="2"/>
        <v/>
      </c>
      <c r="Q20" s="85" t="str">
        <f t="shared" si="3"/>
        <v/>
      </c>
      <c r="R20" s="85" t="e">
        <f t="shared" si="9"/>
        <v>#N/A</v>
      </c>
    </row>
    <row r="21" spans="1:18" ht="39.950000000000003" customHeight="1" x14ac:dyDescent="0.25">
      <c r="A21" s="13">
        <v>6</v>
      </c>
      <c r="B21" s="25"/>
      <c r="C21" s="25"/>
      <c r="D21" s="104"/>
      <c r="E21" s="9"/>
      <c r="F21" s="9"/>
      <c r="G21" s="9"/>
      <c r="H21" s="97" t="s">
        <v>48</v>
      </c>
      <c r="I21" s="10" t="str">
        <f t="shared" si="5"/>
        <v/>
      </c>
      <c r="J21" s="79">
        <f t="shared" si="0"/>
        <v>0</v>
      </c>
      <c r="K21" s="78" t="e">
        <f t="shared" si="6"/>
        <v>#N/A</v>
      </c>
      <c r="L21" s="85" t="e">
        <f t="shared" si="7"/>
        <v>#N/A</v>
      </c>
      <c r="M21" s="85">
        <f t="shared" si="4"/>
        <v>0</v>
      </c>
      <c r="N21" s="149" t="s">
        <v>48</v>
      </c>
      <c r="O21" s="85" t="str">
        <f t="shared" si="8"/>
        <v/>
      </c>
      <c r="P21" s="85" t="str">
        <f t="shared" si="2"/>
        <v/>
      </c>
      <c r="Q21" s="85" t="str">
        <f t="shared" si="3"/>
        <v/>
      </c>
      <c r="R21" s="85" t="e">
        <f t="shared" si="9"/>
        <v>#N/A</v>
      </c>
    </row>
    <row r="22" spans="1:18" ht="39.950000000000003" customHeight="1" x14ac:dyDescent="0.25">
      <c r="A22" s="13">
        <v>7</v>
      </c>
      <c r="B22" s="25"/>
      <c r="C22" s="25"/>
      <c r="D22" s="104"/>
      <c r="E22" s="9"/>
      <c r="F22" s="9"/>
      <c r="G22" s="9"/>
      <c r="H22" s="97" t="s">
        <v>48</v>
      </c>
      <c r="I22" s="10" t="str">
        <f t="shared" si="5"/>
        <v/>
      </c>
      <c r="J22" s="79">
        <f t="shared" si="0"/>
        <v>0</v>
      </c>
      <c r="K22" s="78" t="e">
        <f t="shared" si="6"/>
        <v>#N/A</v>
      </c>
      <c r="L22" s="85" t="e">
        <f t="shared" si="7"/>
        <v>#N/A</v>
      </c>
      <c r="M22" s="85">
        <f t="shared" si="4"/>
        <v>0</v>
      </c>
      <c r="N22" s="149" t="s">
        <v>48</v>
      </c>
      <c r="O22" s="85" t="str">
        <f t="shared" si="8"/>
        <v/>
      </c>
      <c r="P22" s="85" t="str">
        <f t="shared" si="2"/>
        <v/>
      </c>
      <c r="Q22" s="85" t="str">
        <f t="shared" si="3"/>
        <v/>
      </c>
      <c r="R22" s="85" t="e">
        <f t="shared" si="9"/>
        <v>#N/A</v>
      </c>
    </row>
    <row r="23" spans="1:18" ht="39.950000000000003" customHeight="1" x14ac:dyDescent="0.25">
      <c r="A23" s="13">
        <v>8</v>
      </c>
      <c r="B23" s="25"/>
      <c r="C23" s="25"/>
      <c r="D23" s="104"/>
      <c r="E23" s="9"/>
      <c r="F23" s="9"/>
      <c r="G23" s="9"/>
      <c r="H23" s="97" t="s">
        <v>48</v>
      </c>
      <c r="I23" s="10" t="str">
        <f t="shared" si="5"/>
        <v/>
      </c>
      <c r="J23" s="79">
        <f t="shared" si="0"/>
        <v>0</v>
      </c>
      <c r="K23" s="78" t="e">
        <f t="shared" si="6"/>
        <v>#N/A</v>
      </c>
      <c r="L23" s="85" t="e">
        <f t="shared" si="7"/>
        <v>#N/A</v>
      </c>
      <c r="M23" s="85">
        <f t="shared" si="4"/>
        <v>0</v>
      </c>
      <c r="N23" s="149" t="s">
        <v>48</v>
      </c>
      <c r="O23" s="85" t="str">
        <f t="shared" si="8"/>
        <v/>
      </c>
      <c r="P23" s="85" t="str">
        <f t="shared" si="2"/>
        <v/>
      </c>
      <c r="Q23" s="85" t="str">
        <f t="shared" si="3"/>
        <v/>
      </c>
      <c r="R23" s="85" t="e">
        <f t="shared" si="9"/>
        <v>#N/A</v>
      </c>
    </row>
    <row r="24" spans="1:18" ht="20.100000000000001" customHeight="1" x14ac:dyDescent="0.25">
      <c r="A24" s="17"/>
      <c r="B24" s="4"/>
      <c r="C24" s="95"/>
      <c r="D24" s="15"/>
      <c r="E24" s="15"/>
      <c r="F24" s="15"/>
      <c r="G24" s="194" t="s">
        <v>44</v>
      </c>
      <c r="H24" s="194"/>
      <c r="I24" s="5">
        <f>SUM(I5:I7,I10:I14,I16:I23)</f>
        <v>0</v>
      </c>
      <c r="J24" s="81"/>
      <c r="K24" s="77"/>
      <c r="L24" s="81"/>
      <c r="M24" s="81"/>
      <c r="N24" s="82"/>
      <c r="O24" s="83"/>
      <c r="P24" s="84"/>
      <c r="Q24" s="84"/>
      <c r="R24" s="84"/>
    </row>
  </sheetData>
  <sheetProtection password="F660" sheet="1" objects="1" scenarios="1" formatCells="0"/>
  <dataConsolidate/>
  <mergeCells count="5">
    <mergeCell ref="A4:I4"/>
    <mergeCell ref="A8:I8"/>
    <mergeCell ref="A15:I15"/>
    <mergeCell ref="A9:I9"/>
    <mergeCell ref="G24:H24"/>
  </mergeCells>
  <dataValidations count="9">
    <dataValidation allowBlank="1" showInputMessage="1" showErrorMessage="1" errorTitle="Lỗi" error="Vui lòng chỉ chọn các công việc có trong danh sách" sqref="B5:B7 B10:B14 B16:B23"/>
    <dataValidation type="list" allowBlank="1" showInputMessage="1" showErrorMessage="1" errorTitle="Lỗi" error="Vui lòng chỉ chọn các giá trị có trong danh sách!" sqref="C5:C7">
      <formula1>SANGCHE</formula1>
    </dataValidation>
    <dataValidation type="list" allowBlank="1" showInputMessage="1" showErrorMessage="1" errorTitle="Lỗi" error="Vui lòng chỉ chọn các giá trị có trong danh sách!" sqref="C10:C14">
      <formula1>GIAITHUONG</formula1>
    </dataValidation>
    <dataValidation type="list" allowBlank="1" showInputMessage="1" showErrorMessage="1" errorTitle="Lỗi" error="Vui lòng chỉ chọn các giá trị có trong danh sách!" sqref="H10:H14">
      <formula1>KETQUA</formula1>
    </dataValidation>
    <dataValidation type="list" allowBlank="1" showInputMessage="1" showErrorMessage="1" errorTitle="Lỗi" error="Vui lòng chỉ chọn các giá trị có trong danh sách!" sqref="C16:C23">
      <formula1>TRIENLAM</formula1>
    </dataValidation>
    <dataValidation type="list" allowBlank="1" showInputMessage="1" showErrorMessage="1" errorTitle="Lỗi" error="Vui lòng chỉ chọn các giá trị có trong danh sách!" sqref="E10:E14 E5:E7 E16:E23">
      <formula1>HINHTHUC_CONGTRINH</formula1>
    </dataValidation>
    <dataValidation type="whole" operator="greaterThanOrEqual" allowBlank="1" showInputMessage="1" showErrorMessage="1" errorTitle="Lỗi" error="Vui lòng nhập đúng số thành viên (&gt;=0) !" sqref="G16:G23 G10:G14">
      <formula1>0</formula1>
    </dataValidation>
    <dataValidation type="whole" operator="greaterThanOrEqual" allowBlank="1" showInputMessage="1" showErrorMessage="1" errorTitle="Lỗi" error="Vui lòng nhập đúng tổng số đồng tác giả (1-20)!" sqref="G5:G7">
      <formula1>0</formula1>
    </dataValidation>
    <dataValidation type="whole" operator="greaterThanOrEqual" allowBlank="1" showInputMessage="1" showErrorMessage="1" errorTitle="Lỗi" error="Vui lòng nhập đúng số tác giả chính (&gt;=1) !" sqref="F5:F7 F16:F23 F10:F14">
      <formula1>1</formula1>
    </dataValidation>
  </dataValidations>
  <printOptions horizontalCentered="1"/>
  <pageMargins left="0.2" right="0.2" top="0.5" bottom="0.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24"/>
  <sheetViews>
    <sheetView topLeftCell="A16" workbookViewId="0">
      <selection activeCell="C30" sqref="C30"/>
    </sheetView>
  </sheetViews>
  <sheetFormatPr defaultRowHeight="15" x14ac:dyDescent="0.25"/>
  <cols>
    <col min="1" max="1" width="64.7109375" style="119" customWidth="1"/>
    <col min="2" max="2" width="24.28515625" style="119" customWidth="1"/>
    <col min="3" max="3" width="24.5703125" style="119" customWidth="1"/>
    <col min="4" max="4" width="31.140625" style="119" customWidth="1"/>
    <col min="5" max="5" width="19.28515625" style="119" bestFit="1" customWidth="1"/>
    <col min="6" max="6" width="19.28515625" style="119" customWidth="1"/>
    <col min="7" max="7" width="16.7109375" style="119" customWidth="1"/>
    <col min="8" max="16384" width="9.140625" style="119"/>
  </cols>
  <sheetData>
    <row r="1" spans="1:1" s="118" customFormat="1" x14ac:dyDescent="0.25"/>
    <row r="2" spans="1:1" s="118" customFormat="1" x14ac:dyDescent="0.25"/>
    <row r="3" spans="1:1" s="118" customFormat="1" x14ac:dyDescent="0.25">
      <c r="A3" s="57" t="s">
        <v>60</v>
      </c>
    </row>
    <row r="4" spans="1:1" s="118" customFormat="1" x14ac:dyDescent="0.25">
      <c r="A4" s="63" t="s">
        <v>0</v>
      </c>
    </row>
    <row r="5" spans="1:1" s="118" customFormat="1" x14ac:dyDescent="0.25">
      <c r="A5" s="63" t="s">
        <v>183</v>
      </c>
    </row>
    <row r="6" spans="1:1" s="118" customFormat="1" x14ac:dyDescent="0.25">
      <c r="A6" s="63" t="s">
        <v>184</v>
      </c>
    </row>
    <row r="7" spans="1:1" s="118" customFormat="1" x14ac:dyDescent="0.25">
      <c r="A7" s="63" t="s">
        <v>1</v>
      </c>
    </row>
    <row r="8" spans="1:1" s="118" customFormat="1" x14ac:dyDescent="0.25">
      <c r="A8" s="63" t="s">
        <v>2</v>
      </c>
    </row>
    <row r="9" spans="1:1" s="118" customFormat="1" x14ac:dyDescent="0.25">
      <c r="A9" s="63" t="s">
        <v>3</v>
      </c>
    </row>
    <row r="10" spans="1:1" s="118" customFormat="1" x14ac:dyDescent="0.25">
      <c r="A10" s="63" t="s">
        <v>4</v>
      </c>
    </row>
    <row r="11" spans="1:1" s="118" customFormat="1" x14ac:dyDescent="0.25">
      <c r="A11" s="63" t="s">
        <v>5</v>
      </c>
    </row>
    <row r="12" spans="1:1" s="118" customFormat="1" x14ac:dyDescent="0.25">
      <c r="A12" s="58" t="s">
        <v>6</v>
      </c>
    </row>
    <row r="13" spans="1:1" s="118" customFormat="1" x14ac:dyDescent="0.25">
      <c r="A13" s="58" t="s">
        <v>7</v>
      </c>
    </row>
    <row r="14" spans="1:1" s="118" customFormat="1" x14ac:dyDescent="0.25">
      <c r="A14" s="58" t="s">
        <v>8</v>
      </c>
    </row>
    <row r="15" spans="1:1" s="118" customFormat="1" x14ac:dyDescent="0.25">
      <c r="A15" s="58" t="s">
        <v>9</v>
      </c>
    </row>
    <row r="16" spans="1:1" s="118" customFormat="1" x14ac:dyDescent="0.25">
      <c r="A16" s="58" t="s">
        <v>185</v>
      </c>
    </row>
    <row r="17" spans="1:4" s="118" customFormat="1" x14ac:dyDescent="0.25"/>
    <row r="18" spans="1:4" s="118" customFormat="1" x14ac:dyDescent="0.25">
      <c r="A18" s="56" t="s">
        <v>13</v>
      </c>
      <c r="B18" s="57" t="s">
        <v>12</v>
      </c>
    </row>
    <row r="19" spans="1:4" s="118" customFormat="1" x14ac:dyDescent="0.25">
      <c r="A19" s="58" t="s">
        <v>129</v>
      </c>
      <c r="B19" s="58">
        <v>140</v>
      </c>
    </row>
    <row r="20" spans="1:4" s="118" customFormat="1" x14ac:dyDescent="0.25">
      <c r="A20" s="58" t="s">
        <v>66</v>
      </c>
      <c r="B20" s="58">
        <v>120</v>
      </c>
    </row>
    <row r="21" spans="1:4" s="118" customFormat="1" x14ac:dyDescent="0.25">
      <c r="A21" s="58" t="s">
        <v>11</v>
      </c>
      <c r="B21" s="58">
        <v>100</v>
      </c>
    </row>
    <row r="22" spans="1:4" s="118" customFormat="1" x14ac:dyDescent="0.25">
      <c r="A22" s="106"/>
      <c r="B22" s="106"/>
      <c r="C22" s="59"/>
    </row>
    <row r="23" spans="1:4" s="118" customFormat="1" ht="15" customHeight="1" x14ac:dyDescent="0.25">
      <c r="A23" s="57" t="s">
        <v>67</v>
      </c>
      <c r="B23" s="57" t="s">
        <v>135</v>
      </c>
      <c r="C23" s="57" t="s">
        <v>139</v>
      </c>
    </row>
    <row r="24" spans="1:4" s="118" customFormat="1" ht="15" customHeight="1" x14ac:dyDescent="0.25">
      <c r="A24" s="58" t="s">
        <v>68</v>
      </c>
      <c r="B24" s="58">
        <v>0</v>
      </c>
      <c r="C24" s="58">
        <v>1</v>
      </c>
    </row>
    <row r="25" spans="1:4" s="118" customFormat="1" ht="15" customHeight="1" x14ac:dyDescent="0.25">
      <c r="A25" s="58" t="s">
        <v>186</v>
      </c>
      <c r="B25" s="58">
        <v>40</v>
      </c>
      <c r="C25" s="58">
        <v>1</v>
      </c>
    </row>
    <row r="26" spans="1:4" s="118" customFormat="1" ht="15" customHeight="1" x14ac:dyDescent="0.25">
      <c r="A26" s="58" t="s">
        <v>130</v>
      </c>
      <c r="B26" s="58">
        <v>50</v>
      </c>
      <c r="C26" s="58">
        <v>1</v>
      </c>
    </row>
    <row r="27" spans="1:4" s="118" customFormat="1" ht="15" customHeight="1" x14ac:dyDescent="0.25">
      <c r="A27" s="58" t="s">
        <v>131</v>
      </c>
      <c r="B27" s="58">
        <v>25</v>
      </c>
      <c r="C27" s="58">
        <v>1</v>
      </c>
    </row>
    <row r="28" spans="1:4" s="118" customFormat="1" ht="15" customHeight="1" x14ac:dyDescent="0.25">
      <c r="A28" s="58" t="s">
        <v>132</v>
      </c>
      <c r="B28" s="58">
        <v>40</v>
      </c>
      <c r="C28" s="58">
        <v>1</v>
      </c>
    </row>
    <row r="29" spans="1:4" s="118" customFormat="1" ht="15" customHeight="1" x14ac:dyDescent="0.25">
      <c r="A29" s="58" t="s">
        <v>165</v>
      </c>
      <c r="B29" s="58">
        <v>100</v>
      </c>
      <c r="C29" s="58">
        <v>0</v>
      </c>
      <c r="D29" s="108" t="s">
        <v>133</v>
      </c>
    </row>
    <row r="30" spans="1:4" s="118" customFormat="1" ht="15" customHeight="1" x14ac:dyDescent="0.25">
      <c r="A30" s="58" t="s">
        <v>166</v>
      </c>
      <c r="B30" s="58">
        <v>100</v>
      </c>
      <c r="C30" s="58">
        <v>0</v>
      </c>
      <c r="D30" s="108" t="s">
        <v>133</v>
      </c>
    </row>
    <row r="31" spans="1:4" s="118" customFormat="1" x14ac:dyDescent="0.25">
      <c r="A31" s="106"/>
      <c r="B31" s="106"/>
      <c r="C31" s="59"/>
    </row>
    <row r="32" spans="1:4" s="118" customFormat="1" x14ac:dyDescent="0.25">
      <c r="A32" s="57" t="s">
        <v>134</v>
      </c>
      <c r="B32" s="106"/>
      <c r="C32" s="59"/>
    </row>
    <row r="33" spans="1:3" s="118" customFormat="1" x14ac:dyDescent="0.25">
      <c r="A33" s="58">
        <v>1</v>
      </c>
      <c r="B33" s="106"/>
      <c r="C33" s="59"/>
    </row>
    <row r="34" spans="1:3" s="118" customFormat="1" x14ac:dyDescent="0.25">
      <c r="A34" s="58">
        <v>2</v>
      </c>
      <c r="B34" s="106"/>
      <c r="C34" s="59"/>
    </row>
    <row r="35" spans="1:3" s="118" customFormat="1" x14ac:dyDescent="0.25"/>
    <row r="36" spans="1:3" s="118" customFormat="1" x14ac:dyDescent="0.25">
      <c r="A36" s="57" t="s">
        <v>14</v>
      </c>
      <c r="B36" s="57" t="s">
        <v>138</v>
      </c>
    </row>
    <row r="37" spans="1:3" s="118" customFormat="1" x14ac:dyDescent="0.25">
      <c r="A37" s="58" t="s">
        <v>77</v>
      </c>
      <c r="B37" s="58">
        <v>225</v>
      </c>
    </row>
    <row r="38" spans="1:3" s="118" customFormat="1" x14ac:dyDescent="0.25">
      <c r="A38" s="58" t="s">
        <v>16</v>
      </c>
      <c r="B38" s="58">
        <v>180</v>
      </c>
    </row>
    <row r="39" spans="1:3" s="118" customFormat="1" x14ac:dyDescent="0.25">
      <c r="A39" s="58" t="s">
        <v>78</v>
      </c>
      <c r="B39" s="58">
        <v>180</v>
      </c>
    </row>
    <row r="40" spans="1:3" s="118" customFormat="1" x14ac:dyDescent="0.25">
      <c r="A40" s="58" t="s">
        <v>137</v>
      </c>
      <c r="B40" s="58">
        <v>70</v>
      </c>
    </row>
    <row r="41" spans="1:3" s="118" customFormat="1" x14ac:dyDescent="0.25">
      <c r="A41" s="58" t="s">
        <v>17</v>
      </c>
      <c r="B41" s="58">
        <v>90</v>
      </c>
    </row>
    <row r="42" spans="1:3" s="118" customFormat="1" x14ac:dyDescent="0.25">
      <c r="A42" s="58" t="s">
        <v>18</v>
      </c>
      <c r="B42" s="58">
        <v>45</v>
      </c>
    </row>
    <row r="43" spans="1:3" s="118" customFormat="1" x14ac:dyDescent="0.25">
      <c r="A43" s="58" t="s">
        <v>140</v>
      </c>
      <c r="B43" s="58">
        <v>10</v>
      </c>
    </row>
    <row r="44" spans="1:3" s="118" customFormat="1" x14ac:dyDescent="0.25"/>
    <row r="45" spans="1:3" s="118" customFormat="1" x14ac:dyDescent="0.25">
      <c r="A45" s="57" t="s">
        <v>168</v>
      </c>
      <c r="B45" s="57" t="s">
        <v>15</v>
      </c>
    </row>
    <row r="46" spans="1:3" s="118" customFormat="1" ht="30" x14ac:dyDescent="0.25">
      <c r="A46" s="58" t="s">
        <v>188</v>
      </c>
      <c r="B46" s="58">
        <v>40</v>
      </c>
    </row>
    <row r="47" spans="1:3" s="118" customFormat="1" x14ac:dyDescent="0.25">
      <c r="A47" s="58" t="s">
        <v>189</v>
      </c>
      <c r="B47" s="58">
        <v>20</v>
      </c>
    </row>
    <row r="48" spans="1:3" s="118" customFormat="1" ht="30" x14ac:dyDescent="0.25">
      <c r="A48" s="58" t="s">
        <v>187</v>
      </c>
      <c r="B48" s="58">
        <v>10</v>
      </c>
    </row>
    <row r="49" spans="1:7" s="118" customFormat="1" x14ac:dyDescent="0.25"/>
    <row r="50" spans="1:7" s="118" customFormat="1" x14ac:dyDescent="0.25">
      <c r="A50" s="57" t="s">
        <v>25</v>
      </c>
      <c r="B50" s="123" t="s">
        <v>199</v>
      </c>
      <c r="C50" s="123" t="s">
        <v>206</v>
      </c>
      <c r="D50" s="64" t="s">
        <v>205</v>
      </c>
    </row>
    <row r="51" spans="1:7" s="118" customFormat="1" ht="15" customHeight="1" x14ac:dyDescent="0.25">
      <c r="A51" s="58" t="s">
        <v>83</v>
      </c>
      <c r="B51" s="124">
        <v>4</v>
      </c>
      <c r="C51" s="124">
        <v>0</v>
      </c>
      <c r="D51" s="64"/>
      <c r="E51" s="64"/>
    </row>
    <row r="52" spans="1:7" s="118" customFormat="1" ht="15" customHeight="1" x14ac:dyDescent="0.25">
      <c r="A52" s="58" t="s">
        <v>82</v>
      </c>
      <c r="B52" s="124">
        <v>2</v>
      </c>
      <c r="C52" s="124">
        <v>1</v>
      </c>
      <c r="D52" s="64"/>
      <c r="E52" s="64"/>
    </row>
    <row r="53" spans="1:7" s="118" customFormat="1" ht="15" customHeight="1" x14ac:dyDescent="0.25">
      <c r="A53" s="58" t="s">
        <v>19</v>
      </c>
      <c r="B53" s="124">
        <v>1</v>
      </c>
      <c r="C53" s="124">
        <v>0</v>
      </c>
      <c r="D53" s="64"/>
      <c r="E53" s="64"/>
    </row>
    <row r="54" spans="1:7" s="118" customFormat="1" x14ac:dyDescent="0.25"/>
    <row r="55" spans="1:7" s="118" customFormat="1" x14ac:dyDescent="0.25">
      <c r="A55" s="57" t="s">
        <v>211</v>
      </c>
      <c r="B55" s="123" t="s">
        <v>199</v>
      </c>
    </row>
    <row r="56" spans="1:7" s="118" customFormat="1" x14ac:dyDescent="0.25">
      <c r="A56" s="58" t="s">
        <v>83</v>
      </c>
      <c r="B56" s="124">
        <v>4</v>
      </c>
    </row>
    <row r="57" spans="1:7" s="118" customFormat="1" x14ac:dyDescent="0.25">
      <c r="A57" s="58" t="s">
        <v>19</v>
      </c>
      <c r="B57" s="124">
        <v>1</v>
      </c>
    </row>
    <row r="58" spans="1:7" s="118" customFormat="1" x14ac:dyDescent="0.25"/>
    <row r="59" spans="1:7" s="118" customFormat="1" ht="28.5" x14ac:dyDescent="0.25">
      <c r="A59" s="57" t="s">
        <v>20</v>
      </c>
      <c r="B59" s="57" t="s">
        <v>170</v>
      </c>
      <c r="C59" s="57" t="s">
        <v>127</v>
      </c>
      <c r="D59" s="57" t="s">
        <v>45</v>
      </c>
      <c r="E59" s="57" t="s">
        <v>124</v>
      </c>
      <c r="F59" s="57" t="s">
        <v>169</v>
      </c>
      <c r="G59" s="64" t="s">
        <v>125</v>
      </c>
    </row>
    <row r="60" spans="1:7" s="118" customFormat="1" x14ac:dyDescent="0.25">
      <c r="A60" s="58" t="s">
        <v>190</v>
      </c>
      <c r="B60" s="58">
        <v>150</v>
      </c>
      <c r="C60" s="63"/>
      <c r="D60" s="63">
        <v>1</v>
      </c>
      <c r="E60" s="63">
        <v>1</v>
      </c>
      <c r="F60" s="63">
        <v>450</v>
      </c>
      <c r="G60" s="64" t="s">
        <v>126</v>
      </c>
    </row>
    <row r="61" spans="1:7" s="118" customFormat="1" x14ac:dyDescent="0.25">
      <c r="A61" s="58" t="s">
        <v>191</v>
      </c>
      <c r="B61" s="58"/>
      <c r="C61" s="63">
        <v>270</v>
      </c>
      <c r="D61" s="63">
        <v>0</v>
      </c>
      <c r="E61" s="63">
        <v>1</v>
      </c>
      <c r="F61" s="63">
        <v>0</v>
      </c>
      <c r="G61" s="64"/>
    </row>
    <row r="62" spans="1:7" s="118" customFormat="1" x14ac:dyDescent="0.25">
      <c r="A62" s="58" t="s">
        <v>192</v>
      </c>
      <c r="B62" s="58">
        <v>70</v>
      </c>
      <c r="C62" s="63"/>
      <c r="D62" s="63">
        <v>1</v>
      </c>
      <c r="E62" s="63">
        <v>1</v>
      </c>
      <c r="F62" s="63">
        <v>0</v>
      </c>
      <c r="G62" s="64"/>
    </row>
    <row r="63" spans="1:7" s="118" customFormat="1" x14ac:dyDescent="0.25">
      <c r="A63" s="58" t="s">
        <v>193</v>
      </c>
      <c r="B63" s="58"/>
      <c r="C63" s="63">
        <v>120</v>
      </c>
      <c r="D63" s="63">
        <v>0</v>
      </c>
      <c r="E63" s="63">
        <v>1</v>
      </c>
      <c r="F63" s="63">
        <v>0</v>
      </c>
      <c r="G63" s="64"/>
    </row>
    <row r="64" spans="1:7" s="118" customFormat="1" x14ac:dyDescent="0.25">
      <c r="A64" s="58" t="s">
        <v>167</v>
      </c>
      <c r="B64" s="58"/>
      <c r="C64" s="63">
        <v>10</v>
      </c>
      <c r="D64" s="63">
        <v>0</v>
      </c>
      <c r="E64" s="63">
        <v>0</v>
      </c>
      <c r="F64" s="63">
        <v>0</v>
      </c>
      <c r="G64" s="64"/>
    </row>
    <row r="65" spans="1:4" s="118" customFormat="1" x14ac:dyDescent="0.25"/>
    <row r="66" spans="1:4" s="118" customFormat="1" x14ac:dyDescent="0.25">
      <c r="A66" s="57" t="s">
        <v>34</v>
      </c>
      <c r="B66" s="57" t="s">
        <v>115</v>
      </c>
      <c r="C66" s="64" t="s">
        <v>88</v>
      </c>
    </row>
    <row r="67" spans="1:4" s="118" customFormat="1" x14ac:dyDescent="0.25">
      <c r="A67" s="58" t="s">
        <v>35</v>
      </c>
      <c r="B67" s="58">
        <v>0</v>
      </c>
      <c r="C67" s="64"/>
    </row>
    <row r="68" spans="1:4" s="118" customFormat="1" x14ac:dyDescent="0.25">
      <c r="A68" s="58" t="s">
        <v>87</v>
      </c>
      <c r="B68" s="58">
        <v>0</v>
      </c>
      <c r="C68" s="64"/>
    </row>
    <row r="69" spans="1:4" s="118" customFormat="1" x14ac:dyDescent="0.25">
      <c r="A69" s="58" t="s">
        <v>36</v>
      </c>
      <c r="B69" s="58">
        <v>1</v>
      </c>
      <c r="C69" s="64"/>
    </row>
    <row r="70" spans="1:4" s="118" customFormat="1" x14ac:dyDescent="0.25"/>
    <row r="71" spans="1:4" s="118" customFormat="1" x14ac:dyDescent="0.25">
      <c r="A71" s="57" t="s">
        <v>26</v>
      </c>
      <c r="B71" s="57" t="s">
        <v>33</v>
      </c>
      <c r="C71" s="57" t="s">
        <v>160</v>
      </c>
      <c r="D71" s="64" t="s">
        <v>161</v>
      </c>
    </row>
    <row r="72" spans="1:4" s="118" customFormat="1" x14ac:dyDescent="0.25">
      <c r="A72" s="58" t="s">
        <v>195</v>
      </c>
      <c r="B72" s="58">
        <v>200</v>
      </c>
      <c r="C72" s="58">
        <v>0</v>
      </c>
    </row>
    <row r="73" spans="1:4" s="118" customFormat="1" ht="30" x14ac:dyDescent="0.25">
      <c r="A73" s="58" t="s">
        <v>175</v>
      </c>
      <c r="B73" s="58">
        <v>150</v>
      </c>
      <c r="C73" s="58">
        <v>0</v>
      </c>
    </row>
    <row r="74" spans="1:4" s="118" customFormat="1" ht="30" x14ac:dyDescent="0.25">
      <c r="A74" s="58" t="s">
        <v>194</v>
      </c>
      <c r="B74" s="58">
        <v>150</v>
      </c>
      <c r="C74" s="58">
        <v>0</v>
      </c>
    </row>
    <row r="75" spans="1:4" s="118" customFormat="1" ht="30" x14ac:dyDescent="0.25">
      <c r="A75" s="58" t="s">
        <v>196</v>
      </c>
      <c r="B75" s="58">
        <v>130</v>
      </c>
      <c r="C75" s="58">
        <v>0</v>
      </c>
    </row>
    <row r="76" spans="1:4" s="118" customFormat="1" ht="30" x14ac:dyDescent="0.25">
      <c r="A76" s="58" t="s">
        <v>176</v>
      </c>
      <c r="B76" s="58">
        <v>100</v>
      </c>
      <c r="C76" s="58">
        <v>0</v>
      </c>
    </row>
    <row r="77" spans="1:4" s="118" customFormat="1" x14ac:dyDescent="0.25">
      <c r="A77" s="58" t="s">
        <v>197</v>
      </c>
      <c r="B77" s="58">
        <v>100</v>
      </c>
      <c r="C77" s="58">
        <v>0</v>
      </c>
    </row>
    <row r="78" spans="1:4" s="118" customFormat="1" x14ac:dyDescent="0.25">
      <c r="A78" s="58" t="s">
        <v>177</v>
      </c>
      <c r="B78" s="58">
        <v>80</v>
      </c>
      <c r="C78" s="58">
        <v>0</v>
      </c>
    </row>
    <row r="79" spans="1:4" s="118" customFormat="1" x14ac:dyDescent="0.25">
      <c r="A79" s="58" t="s">
        <v>178</v>
      </c>
      <c r="B79" s="58">
        <v>60</v>
      </c>
      <c r="C79" s="58">
        <v>0</v>
      </c>
    </row>
    <row r="80" spans="1:4" s="118" customFormat="1" x14ac:dyDescent="0.25">
      <c r="A80" s="58" t="s">
        <v>89</v>
      </c>
      <c r="B80" s="58">
        <v>45</v>
      </c>
      <c r="C80" s="58">
        <v>0</v>
      </c>
    </row>
    <row r="81" spans="1:6" s="118" customFormat="1" x14ac:dyDescent="0.25">
      <c r="A81" s="58" t="s">
        <v>179</v>
      </c>
      <c r="B81" s="58">
        <v>40</v>
      </c>
      <c r="C81" s="58">
        <v>0</v>
      </c>
    </row>
    <row r="82" spans="1:6" s="118" customFormat="1" x14ac:dyDescent="0.25">
      <c r="A82" s="58" t="s">
        <v>144</v>
      </c>
      <c r="B82" s="58">
        <v>30</v>
      </c>
      <c r="C82" s="58">
        <v>0</v>
      </c>
    </row>
    <row r="83" spans="1:6" s="118" customFormat="1" ht="30" x14ac:dyDescent="0.25">
      <c r="A83" s="58" t="s">
        <v>180</v>
      </c>
      <c r="B83" s="58">
        <v>20</v>
      </c>
      <c r="C83" s="58">
        <v>0</v>
      </c>
    </row>
    <row r="84" spans="1:6" s="118" customFormat="1" ht="45" x14ac:dyDescent="0.25">
      <c r="A84" s="58" t="s">
        <v>174</v>
      </c>
      <c r="B84" s="58">
        <v>10</v>
      </c>
      <c r="C84" s="58">
        <v>1</v>
      </c>
    </row>
    <row r="85" spans="1:6" s="118" customFormat="1" x14ac:dyDescent="0.25"/>
    <row r="86" spans="1:6" s="118" customFormat="1" x14ac:dyDescent="0.25">
      <c r="A86" s="57" t="s">
        <v>38</v>
      </c>
      <c r="B86" s="57" t="s">
        <v>115</v>
      </c>
      <c r="C86" s="64" t="s">
        <v>146</v>
      </c>
    </row>
    <row r="87" spans="1:6" s="118" customFormat="1" x14ac:dyDescent="0.25">
      <c r="A87" s="58" t="s">
        <v>223</v>
      </c>
      <c r="B87" s="58">
        <v>0</v>
      </c>
    </row>
    <row r="88" spans="1:6" s="118" customFormat="1" x14ac:dyDescent="0.25">
      <c r="A88" s="58" t="s">
        <v>36</v>
      </c>
      <c r="B88" s="58">
        <v>1</v>
      </c>
    </row>
    <row r="89" spans="1:6" s="118" customFormat="1" x14ac:dyDescent="0.25"/>
    <row r="90" spans="1:6" s="118" customFormat="1" x14ac:dyDescent="0.25">
      <c r="A90" s="57" t="s">
        <v>91</v>
      </c>
      <c r="B90" s="57" t="s">
        <v>15</v>
      </c>
    </row>
    <row r="91" spans="1:6" s="118" customFormat="1" ht="30" x14ac:dyDescent="0.25">
      <c r="A91" s="58" t="s">
        <v>147</v>
      </c>
      <c r="B91" s="58">
        <v>300</v>
      </c>
    </row>
    <row r="92" spans="1:6" s="118" customFormat="1" ht="30" x14ac:dyDescent="0.25">
      <c r="A92" s="58" t="s">
        <v>148</v>
      </c>
      <c r="B92" s="58">
        <v>250</v>
      </c>
    </row>
    <row r="93" spans="1:6" s="118" customFormat="1" x14ac:dyDescent="0.25">
      <c r="A93" s="58" t="s">
        <v>149</v>
      </c>
      <c r="B93" s="58">
        <v>250</v>
      </c>
    </row>
    <row r="94" spans="1:6" s="118" customFormat="1" x14ac:dyDescent="0.25"/>
    <row r="95" spans="1:6" s="118" customFormat="1" x14ac:dyDescent="0.25">
      <c r="A95" s="114" t="s">
        <v>92</v>
      </c>
      <c r="B95" s="114" t="s">
        <v>150</v>
      </c>
      <c r="C95" s="114" t="s">
        <v>151</v>
      </c>
      <c r="D95" s="114" t="s">
        <v>97</v>
      </c>
      <c r="E95" s="114" t="s">
        <v>98</v>
      </c>
      <c r="F95" s="114" t="s">
        <v>100</v>
      </c>
    </row>
    <row r="96" spans="1:6" s="118" customFormat="1" x14ac:dyDescent="0.25">
      <c r="A96" s="115" t="s">
        <v>95</v>
      </c>
      <c r="B96" s="115">
        <v>200</v>
      </c>
      <c r="C96" s="115">
        <v>170</v>
      </c>
      <c r="D96" s="115">
        <v>150</v>
      </c>
      <c r="E96" s="115">
        <v>130</v>
      </c>
      <c r="F96" s="115">
        <f>E96*0.3</f>
        <v>39</v>
      </c>
    </row>
    <row r="97" spans="1:6" s="118" customFormat="1" x14ac:dyDescent="0.25">
      <c r="A97" s="115" t="s">
        <v>93</v>
      </c>
      <c r="B97" s="115">
        <v>120</v>
      </c>
      <c r="C97" s="115">
        <v>100</v>
      </c>
      <c r="D97" s="115">
        <v>80</v>
      </c>
      <c r="E97" s="115">
        <v>50</v>
      </c>
      <c r="F97" s="115">
        <f>E97*0.3</f>
        <v>15</v>
      </c>
    </row>
    <row r="98" spans="1:6" s="118" customFormat="1" x14ac:dyDescent="0.25">
      <c r="A98" s="115" t="s">
        <v>94</v>
      </c>
      <c r="B98" s="115">
        <v>40</v>
      </c>
      <c r="C98" s="115">
        <v>30</v>
      </c>
      <c r="D98" s="115">
        <v>20</v>
      </c>
      <c r="E98" s="115">
        <v>10</v>
      </c>
      <c r="F98" s="115">
        <f>E98*0.3</f>
        <v>3</v>
      </c>
    </row>
    <row r="99" spans="1:6" s="118" customFormat="1" x14ac:dyDescent="0.25">
      <c r="A99" s="115" t="s">
        <v>198</v>
      </c>
      <c r="B99" s="115">
        <v>40</v>
      </c>
      <c r="C99" s="115">
        <v>30</v>
      </c>
      <c r="D99" s="115">
        <v>20</v>
      </c>
      <c r="E99" s="115">
        <v>10</v>
      </c>
      <c r="F99" s="115">
        <v>0</v>
      </c>
    </row>
    <row r="100" spans="1:6" s="118" customFormat="1" x14ac:dyDescent="0.25"/>
    <row r="101" spans="1:6" s="118" customFormat="1" x14ac:dyDescent="0.25">
      <c r="A101" s="114" t="s">
        <v>104</v>
      </c>
      <c r="B101" s="114" t="s">
        <v>102</v>
      </c>
      <c r="C101" s="64" t="s">
        <v>109</v>
      </c>
    </row>
    <row r="102" spans="1:6" s="118" customFormat="1" ht="15" customHeight="1" x14ac:dyDescent="0.25">
      <c r="A102" s="115" t="s">
        <v>152</v>
      </c>
      <c r="B102" s="115">
        <v>2</v>
      </c>
      <c r="C102" s="64"/>
    </row>
    <row r="103" spans="1:6" s="118" customFormat="1" ht="15" customHeight="1" x14ac:dyDescent="0.25">
      <c r="A103" s="115" t="s">
        <v>153</v>
      </c>
      <c r="B103" s="115">
        <v>3</v>
      </c>
      <c r="C103" s="64"/>
    </row>
    <row r="104" spans="1:6" s="118" customFormat="1" ht="15" customHeight="1" x14ac:dyDescent="0.25">
      <c r="A104" s="115" t="s">
        <v>96</v>
      </c>
      <c r="B104" s="115">
        <v>4</v>
      </c>
      <c r="C104" s="64"/>
    </row>
    <row r="105" spans="1:6" s="118" customFormat="1" x14ac:dyDescent="0.25">
      <c r="A105" s="115" t="s">
        <v>101</v>
      </c>
      <c r="B105" s="115">
        <v>5</v>
      </c>
      <c r="C105" s="64"/>
    </row>
    <row r="106" spans="1:6" s="118" customFormat="1" x14ac:dyDescent="0.25">
      <c r="A106" s="115" t="s">
        <v>99</v>
      </c>
      <c r="B106" s="115">
        <v>6</v>
      </c>
      <c r="C106" s="64"/>
    </row>
    <row r="107" spans="1:6" s="118" customFormat="1" x14ac:dyDescent="0.25"/>
    <row r="108" spans="1:6" s="118" customFormat="1" x14ac:dyDescent="0.25">
      <c r="A108" s="114" t="s">
        <v>103</v>
      </c>
      <c r="B108" s="114" t="s">
        <v>15</v>
      </c>
    </row>
    <row r="109" spans="1:6" s="118" customFormat="1" x14ac:dyDescent="0.25">
      <c r="A109" s="115" t="s">
        <v>154</v>
      </c>
      <c r="B109" s="115">
        <v>60</v>
      </c>
    </row>
    <row r="110" spans="1:6" s="118" customFormat="1" x14ac:dyDescent="0.25">
      <c r="A110" s="115" t="s">
        <v>155</v>
      </c>
      <c r="B110" s="115">
        <v>30</v>
      </c>
    </row>
    <row r="111" spans="1:6" s="118" customFormat="1" x14ac:dyDescent="0.25">
      <c r="A111" s="115" t="s">
        <v>117</v>
      </c>
      <c r="B111" s="115">
        <v>10</v>
      </c>
    </row>
    <row r="112" spans="1:6" s="118" customFormat="1" x14ac:dyDescent="0.25"/>
    <row r="113" spans="1:4" s="118" customFormat="1" ht="15" customHeight="1" x14ac:dyDescent="0.25">
      <c r="A113" s="114" t="s">
        <v>114</v>
      </c>
      <c r="B113" s="114" t="s">
        <v>115</v>
      </c>
      <c r="C113" s="64" t="s">
        <v>116</v>
      </c>
    </row>
    <row r="114" spans="1:4" s="118" customFormat="1" ht="15" customHeight="1" x14ac:dyDescent="0.25">
      <c r="A114" s="115" t="s">
        <v>223</v>
      </c>
      <c r="B114" s="115">
        <v>0</v>
      </c>
      <c r="C114" s="64"/>
    </row>
    <row r="115" spans="1:4" s="118" customFormat="1" ht="15" customHeight="1" x14ac:dyDescent="0.25">
      <c r="A115" s="115" t="s">
        <v>87</v>
      </c>
      <c r="B115" s="115">
        <v>0</v>
      </c>
      <c r="C115" s="64"/>
    </row>
    <row r="116" spans="1:4" s="118" customFormat="1" x14ac:dyDescent="0.25">
      <c r="A116" s="115" t="s">
        <v>36</v>
      </c>
      <c r="B116" s="115">
        <v>1</v>
      </c>
      <c r="C116" s="64"/>
    </row>
    <row r="117" spans="1:4" s="118" customFormat="1" x14ac:dyDescent="0.25"/>
    <row r="118" spans="1:4" x14ac:dyDescent="0.25">
      <c r="A118" s="120" t="s">
        <v>204</v>
      </c>
      <c r="B118" s="120" t="s">
        <v>202</v>
      </c>
      <c r="C118" s="64"/>
      <c r="D118" s="64"/>
    </row>
    <row r="119" spans="1:4" x14ac:dyDescent="0.25">
      <c r="A119" s="121" t="s">
        <v>200</v>
      </c>
      <c r="B119" s="121">
        <v>1</v>
      </c>
      <c r="C119" s="64"/>
    </row>
    <row r="120" spans="1:4" x14ac:dyDescent="0.25">
      <c r="A120" s="121" t="s">
        <v>201</v>
      </c>
      <c r="B120" s="121">
        <v>0</v>
      </c>
      <c r="C120" s="64"/>
    </row>
    <row r="122" spans="1:4" x14ac:dyDescent="0.25">
      <c r="A122" s="120" t="s">
        <v>231</v>
      </c>
      <c r="B122" s="120" t="s">
        <v>232</v>
      </c>
    </row>
    <row r="123" spans="1:4" x14ac:dyDescent="0.25">
      <c r="A123" s="121" t="s">
        <v>242</v>
      </c>
      <c r="B123" s="121">
        <v>30</v>
      </c>
    </row>
    <row r="124" spans="1:4" x14ac:dyDescent="0.25">
      <c r="A124" s="121" t="s">
        <v>243</v>
      </c>
      <c r="B124" s="121">
        <v>100</v>
      </c>
    </row>
  </sheetData>
  <sheetProtection formatCell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74</vt:i4>
      </vt:variant>
    </vt:vector>
  </HeadingPairs>
  <TitlesOfParts>
    <vt:vector size="80" baseType="lpstr">
      <vt:lpstr>Bang quy doi gio chuan NV2</vt:lpstr>
      <vt:lpstr>Phan 1 - DETAI</vt:lpstr>
      <vt:lpstr>Phan 2 - GIAOTRINH</vt:lpstr>
      <vt:lpstr>Phan 3 - BAIBAO</vt:lpstr>
      <vt:lpstr>Phan 4 - GIAITHUONG</vt:lpstr>
      <vt:lpstr>DATA</vt:lpstr>
      <vt:lpstr>BAIBAO</vt:lpstr>
      <vt:lpstr>BAIBAO_LOOKUP</vt:lpstr>
      <vt:lpstr>CHENHLECHNV2</vt:lpstr>
      <vt:lpstr>CHUCDANH</vt:lpstr>
      <vt:lpstr>CHUCDANH_INPUT_HK1</vt:lpstr>
      <vt:lpstr>CHUCDANH_INPUT_HK2</vt:lpstr>
      <vt:lpstr>CHUCDANH_LOOKUP</vt:lpstr>
      <vt:lpstr>COVID19</vt:lpstr>
      <vt:lpstr>COVID19_LOOKUP</vt:lpstr>
      <vt:lpstr>DINHMUCNV2</vt:lpstr>
      <vt:lpstr>DINHMUCNV2_HK1</vt:lpstr>
      <vt:lpstr>DINHMUCNV2_HK2</vt:lpstr>
      <vt:lpstr>DONVI</vt:lpstr>
      <vt:lpstr>DONVI_INPUT</vt:lpstr>
      <vt:lpstr>GIAITHUONG</vt:lpstr>
      <vt:lpstr>GIAITHUONG_LOOKUP</vt:lpstr>
      <vt:lpstr>GIAMNV2</vt:lpstr>
      <vt:lpstr>GIAOTRINH</vt:lpstr>
      <vt:lpstr>GIAOTRINH_LOOKUP</vt:lpstr>
      <vt:lpstr>GIOCHUAN_BO</vt:lpstr>
      <vt:lpstr>GIOCHUAN_DHH</vt:lpstr>
      <vt:lpstr>GIOCHUAN_DHKH</vt:lpstr>
      <vt:lpstr>GIOCHUAN_HTQT</vt:lpstr>
      <vt:lpstr>GIOCHUAN_NN</vt:lpstr>
      <vt:lpstr>GIOCHUAN_SV</vt:lpstr>
      <vt:lpstr>GIOCHUAN_TP</vt:lpstr>
      <vt:lpstr>HINHTHUC_CONGTRINH</vt:lpstr>
      <vt:lpstr>HINHTHUC_CONGTRINH_LOOKUP</vt:lpstr>
      <vt:lpstr>HINHTHUC_DETAI</vt:lpstr>
      <vt:lpstr>HINHTHUC_DETAI_2</vt:lpstr>
      <vt:lpstr>HINHTHUC_DETAI_2_LOOKUP</vt:lpstr>
      <vt:lpstr>HINHTHUC_DETAI_LOOKUP</vt:lpstr>
      <vt:lpstr>HINHTHUC_GIAOTRINH</vt:lpstr>
      <vt:lpstr>HINHTHUC_GIAOTRINH_LOOKUP</vt:lpstr>
      <vt:lpstr>HINHTHUCTHAMGIA</vt:lpstr>
      <vt:lpstr>HINHTHUCTHAMGIA_LOOKUP</vt:lpstr>
      <vt:lpstr>HOPDONG</vt:lpstr>
      <vt:lpstr>HOPDONG_LOOKUP</vt:lpstr>
      <vt:lpstr>KETQUA</vt:lpstr>
      <vt:lpstr>KETQUA_LOOKUP</vt:lpstr>
      <vt:lpstr>MIENGIAM</vt:lpstr>
      <vt:lpstr>MIENGIAM_INPUT_I</vt:lpstr>
      <vt:lpstr>MIENGIAM_INPUT_II</vt:lpstr>
      <vt:lpstr>MIENGIAM_LOOKUP</vt:lpstr>
      <vt:lpstr>NAMGV_INPUT</vt:lpstr>
      <vt:lpstr>NGHIAVUNV2</vt:lpstr>
      <vt:lpstr>'Bang quy doi gio chuan NV2'!Print_Area</vt:lpstr>
      <vt:lpstr>'Phan 1 - DETAI'!Print_Area</vt:lpstr>
      <vt:lpstr>'Phan 2 - GIAOTRINH'!Print_Area</vt:lpstr>
      <vt:lpstr>'Phan 3 - BAIBAO'!Print_Area</vt:lpstr>
      <vt:lpstr>'Phan 4 - GIAITHUONG'!Print_Area</vt:lpstr>
      <vt:lpstr>SANGCHE</vt:lpstr>
      <vt:lpstr>SANGCHE_LOOKUP</vt:lpstr>
      <vt:lpstr>SOHOCKY</vt:lpstr>
      <vt:lpstr>SUM_ALL</vt:lpstr>
      <vt:lpstr>SUM_BO</vt:lpstr>
      <vt:lpstr>SUM_DHH</vt:lpstr>
      <vt:lpstr>SUM_DHKH</vt:lpstr>
      <vt:lpstr>SUM_HOPDONG</vt:lpstr>
      <vt:lpstr>SUM_HTQT</vt:lpstr>
      <vt:lpstr>SUM_I</vt:lpstr>
      <vt:lpstr>SUM_II</vt:lpstr>
      <vt:lpstr>SUM_III</vt:lpstr>
      <vt:lpstr>SUM_IV</vt:lpstr>
      <vt:lpstr>SUM_NN</vt:lpstr>
      <vt:lpstr>SUM_SEMINAR</vt:lpstr>
      <vt:lpstr>SUM_SV</vt:lpstr>
      <vt:lpstr>SUM_TP</vt:lpstr>
      <vt:lpstr>THUKY</vt:lpstr>
      <vt:lpstr>THUKY_LOOKUP</vt:lpstr>
      <vt:lpstr>TONGCONGNV2</vt:lpstr>
      <vt:lpstr>TRIENLAM</vt:lpstr>
      <vt:lpstr>TRIENLAM_LOOKUP</vt:lpstr>
      <vt:lpstr>TRUNV2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</dc:creator>
  <cp:lastModifiedBy>Admin</cp:lastModifiedBy>
  <cp:lastPrinted>2020-07-01T01:59:06Z</cp:lastPrinted>
  <dcterms:created xsi:type="dcterms:W3CDTF">2013-01-28T01:18:04Z</dcterms:created>
  <dcterms:modified xsi:type="dcterms:W3CDTF">2020-07-02T07:13:20Z</dcterms:modified>
</cp:coreProperties>
</file>